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Supuestos" sheetId="2" state="visible" r:id="rId4"/>
    <sheet name="Fluj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<sst xmlns="http://schemas.openxmlformats.org/spreadsheetml/2006/main" count="203" uniqueCount="196">
  <si>
    <t xml:space="preserve">Del Pilar · Tijuana · primera aproximación (USD)</t>
  </si>
  <si>
    <t xml:space="preserve">Verde = viene de otra hoja. Las cifras cambian con los supuestos (hoja Supuestos, celdas azules).</t>
  </si>
  <si>
    <t xml:space="preserve">INGRESOS Y COSTOS (totales de caja a 84 meses)</t>
  </si>
  <si>
    <t xml:space="preserve">Venta plataforma industrial</t>
  </si>
  <si>
    <t xml:space="preserve">Venta lotes residenciales (enganches + cobranza)</t>
  </si>
  <si>
    <t xml:space="preserve">Venta suelo comercial</t>
  </si>
  <si>
    <t xml:space="preserve">Total ingresos</t>
  </si>
  <si>
    <t xml:space="preserve">Título, impuestos y papel</t>
  </si>
  <si>
    <t xml:space="preserve">Movimiento de tierra + servicios plataforma</t>
  </si>
  <si>
    <t xml:space="preserve">Urbanización residencial</t>
  </si>
  <si>
    <t xml:space="preserve">Contingencia</t>
  </si>
  <si>
    <t xml:space="preserve">Cortesía Cárdenas</t>
  </si>
  <si>
    <t xml:space="preserve">Comisiones y administración</t>
  </si>
  <si>
    <t xml:space="preserve">Costo de la deuda (comisión + intereses)</t>
  </si>
  <si>
    <t xml:space="preserve">Total costos</t>
  </si>
  <si>
    <t xml:space="preserve">PROFIT ANTES DE IMPUESTOS (sin contar la tierra)</t>
  </si>
  <si>
    <t xml:space="preserve">La tierra ya es de los socios ($650k pagados en 2011); entra como aporte, no como costo</t>
  </si>
  <si>
    <t xml:space="preserve">IMPUESTOS (primera aproximación)</t>
  </si>
  <si>
    <t xml:space="preserve">m² vendidos (plataforma + lotes + comercial)</t>
  </si>
  <si>
    <t xml:space="preserve">Base fiscal de tierra asignada · caso avalúo</t>
  </si>
  <si>
    <t xml:space="preserve">Proporcional a m² vendidos sobre m² físicos</t>
  </si>
  <si>
    <t xml:space="preserve">Base fiscal de tierra asignada · caso bajo</t>
  </si>
  <si>
    <t xml:space="preserve">Costos deducibles (todos los costos)</t>
  </si>
  <si>
    <t xml:space="preserve">Utilidad fiscal · caso avalúo</t>
  </si>
  <si>
    <t xml:space="preserve">Utilidad fiscal · caso bajo</t>
  </si>
  <si>
    <t xml:space="preserve">ISR total · caso avalúo</t>
  </si>
  <si>
    <t xml:space="preserve">Es el que paga el flujo (dos pagos)</t>
  </si>
  <si>
    <t xml:space="preserve">  pago 1 (mes ISR plataforma) · proporción plataforma</t>
  </si>
  <si>
    <t xml:space="preserve">  pago 2 (mes ISR residencial) · resto</t>
  </si>
  <si>
    <t xml:space="preserve">ISR total · caso bajo (referencia)</t>
  </si>
  <si>
    <t xml:space="preserve">Diferencia = valor de declarar la transmisión a avalúo</t>
  </si>
  <si>
    <t xml:space="preserve">Ahorro por base fiscal a avalúo</t>
  </si>
  <si>
    <t xml:space="preserve">PROFIT DESPUÉS DE IMPUESTOS · caso avalúo</t>
  </si>
  <si>
    <t xml:space="preserve">CAJA Y DEUDA</t>
  </si>
  <si>
    <t xml:space="preserve">Caja mínima acumulada (debe ser ≥ 0)</t>
  </si>
  <si>
    <t xml:space="preserve">Si es negativa, falta capital o hay que mover fechas</t>
  </si>
  <si>
    <t xml:space="preserve">Caja mínima antes de deuda e inversionista (necesidad bruta)</t>
  </si>
  <si>
    <t xml:space="preserve">Flujo operativo del peor mes (referencia)</t>
  </si>
  <si>
    <t xml:space="preserve">Deuda tomada</t>
  </si>
  <si>
    <t xml:space="preserve">Costo total de la deuda</t>
  </si>
  <si>
    <t xml:space="preserve">Total distribuido a socios e inversionista</t>
  </si>
  <si>
    <t xml:space="preserve">OPCIÓN A · inversionista de capital: devolución + 35 % del profit</t>
  </si>
  <si>
    <t xml:space="preserve">Recibe</t>
  </si>
  <si>
    <t xml:space="preserve">Múltiplo</t>
  </si>
  <si>
    <t xml:space="preserve">TIR anual</t>
  </si>
  <si>
    <t xml:space="preserve">Inversionista (devolución + 35 % del profit)</t>
  </si>
  <si>
    <t xml:space="preserve">KVR (65 % del resto)</t>
  </si>
  <si>
    <t xml:space="preserve">Castela (35 % del resto)</t>
  </si>
  <si>
    <t xml:space="preserve">Profit repartido</t>
  </si>
  <si>
    <t xml:space="preserve">OPCIÓN B · crédito participativo: 10 % anual + 20 % del profit</t>
  </si>
  <si>
    <t xml:space="preserve">Inversionista (principal + cupón + participación)</t>
  </si>
  <si>
    <t xml:space="preserve">KVR (65 % del 80 %)</t>
  </si>
  <si>
    <t xml:space="preserve">Castela (35 % del 80 %)</t>
  </si>
  <si>
    <t xml:space="preserve">SENSIBILIDAD · profit antes de impuestos (USD) · precio plataforma × costo por m³</t>
  </si>
  <si>
    <t xml:space="preserve">costo $/m³ ↓  ·  precio plataforma $/m² →</t>
  </si>
  <si>
    <t xml:space="preserve">Lectura: cada celda es el profit antes de impuestos si la plataforma se vende a ese precio y la tierra movida cuesta eso por m³, con el resto igual.</t>
  </si>
  <si>
    <t xml:space="preserve">NOTAS DE ESTA PRIMERA APROXIMACIÓN</t>
  </si>
  <si>
    <t xml:space="preserve">• La tierra no es costo: ya es de KVR ($650k al ejido en 2011); el inversionista financia papel, obra y deuda puente, no la compra.</t>
  </si>
  <si>
    <t xml:space="preserve">• Lotes: 30 % de enganche y 36 meses al 12 %; el modelo de Omar Hdez (10 % a 84 meses sin interés) estiraba la cobranza a 10-13 años.</t>
  </si>
  <si>
    <t xml:space="preserve">• Deuda bullet contra el colateral, pagada con la venta de la plataforma; si la plataforma se retrasa, la deuda se renueva y el costo sube.</t>
  </si>
  <si>
    <t xml:space="preserve">• ISR en dos pagos (plataforma y residencial); impuesto sobre adquisición dentro de «título y papel». Sin IVA sobre suelo (exento).</t>
  </si>
  <si>
    <t xml:space="preserve">• Opción B: el cupón se paga acumulado al devolver el principal; la participación es sobre el profit distribuible neto de cupón.</t>
  </si>
  <si>
    <t xml:space="preserve">• Pendiente para segunda vuelta: topografía real de la fracción residencial (área no aprovechable 24-46 %), cotización de tierra movida, factibilidad CFE y avalúo bancario.</t>
  </si>
  <si>
    <t xml:space="preserve">Del Pilar · Tijuana · primera aproximación · supuestos (azul = editable)</t>
  </si>
  <si>
    <t xml:space="preserve">TIERRA</t>
  </si>
  <si>
    <t xml:space="preserve">Superficie documental (m²)</t>
  </si>
  <si>
    <t xml:space="preserve">Título RAN 3749 (2011): 12-00-57.94 ha</t>
  </si>
  <si>
    <t xml:space="preserve">Superficie física (m²)</t>
  </si>
  <si>
    <t xml:space="preserve">Catastro ZD-501-001 (sep-2022): 120.058 − CFE 4.726 − camino 3.185</t>
  </si>
  <si>
    <t xml:space="preserve">Plataforma industrial (m²)</t>
  </si>
  <si>
    <t xml:space="preserve">Plano «Una Plataforma» oct-2022: 34.950,26 m², corte 245.852 m³ / terraplén 245.713 m³</t>
  </si>
  <si>
    <t xml:space="preserve">Vendible residencial · lotes (m²)</t>
  </si>
  <si>
    <t xml:space="preserve">Geometría del modelo Omar Hdez (escenario Actual): 85 % de vendible neto</t>
  </si>
  <si>
    <t xml:space="preserve">Vendible comercial (m²)</t>
  </si>
  <si>
    <t xml:space="preserve">15 % de vendible neto</t>
  </si>
  <si>
    <t xml:space="preserve">Lote tipo (m²)</t>
  </si>
  <si>
    <t xml:space="preserve">8 × 20, igual que el modelo Omar Hdez</t>
  </si>
  <si>
    <t xml:space="preserve">Lotes (#)</t>
  </si>
  <si>
    <t xml:space="preserve">Vendible residencial / lote tipo</t>
  </si>
  <si>
    <t xml:space="preserve">VENTAS</t>
  </si>
  <si>
    <t xml:space="preserve">Precio plataforma industrial ($/m²)</t>
  </si>
  <si>
    <t xml:space="preserve">Comparables: lote industrial terminado en parque 120-220; FIBRAMQ 92 con 90 MW; con permisos 80-100</t>
  </si>
  <si>
    <t xml:space="preserve">Mes de venta de la plataforma</t>
  </si>
  <si>
    <t xml:space="preserve">Supone permisos en trámite desde el mes 1 y obra terminada en el mes 14</t>
  </si>
  <si>
    <t xml:space="preserve">Precio lote residencial ($/m²)</t>
  </si>
  <si>
    <t xml:space="preserve">Comparables lote urbanizado 160-600 m² radio 4 km: mediana 204, colonias ejidales 96-125</t>
  </si>
  <si>
    <t xml:space="preserve">Precio suelo comercial ($/m²)</t>
  </si>
  <si>
    <t xml:space="preserve">Moshe (audio 5-oct): comercial junto a la vialidad principal $300-500; comparables macrolotes con frente: mediana 220, esquinas 300-450</t>
  </si>
  <si>
    <t xml:space="preserve">Mes de venta del comercial</t>
  </si>
  <si>
    <t xml:space="preserve">Lotes vendidos por mes</t>
  </si>
  <si>
    <t xml:space="preserve">Igual que el modelo Omar Hdez</t>
  </si>
  <si>
    <t xml:space="preserve">Mes de inicio de venta de lotes</t>
  </si>
  <si>
    <t xml:space="preserve">Con licencia de urbanización y plataforma avanzada</t>
  </si>
  <si>
    <t xml:space="preserve">Enganche lotes (%)</t>
  </si>
  <si>
    <t xml:space="preserve">Omar Hdez usaba 10 % a 84 meses sin interés; aquí 30 % a 36 meses con interés</t>
  </si>
  <si>
    <t xml:space="preserve">Plazo financiamiento lotes (meses)</t>
  </si>
  <si>
    <t xml:space="preserve">Interés anual a compradores (%)</t>
  </si>
  <si>
    <t xml:space="preserve">COSTOS</t>
  </si>
  <si>
    <t xml:space="preserve">Título, impuestos, notaría, dictámenes, factibilidades, geotecnia, avalúo ($)</t>
  </si>
  <si>
    <t xml:space="preserve">ISAI ~2 % sobre avalúo 7 M = 140k + notaría/registro + MIA + CFE/CESPT + geotecnia + avalúo. Moshe: ya hay permiso de la entidad reguladora de tenencia de BC que sustituye la licencia de fraccionamiento para la lotificación; confirmar si cubre la plataforma</t>
  </si>
  <si>
    <t xml:space="preserve">  meses de ejecución (1 a N)</t>
  </si>
  <si>
    <t xml:space="preserve">Movimiento de tierra plataforma (m³)</t>
  </si>
  <si>
    <t xml:space="preserve">Plano «Una Plataforma»</t>
  </si>
  <si>
    <t xml:space="preserve">Costo por m³ movido ($)</t>
  </si>
  <si>
    <t xml:space="preserve">Rango 5-10; Moshe: los precios de Omar llevaban financiamiento implícito (maquinaria propia); con dinero en mano baja. ANIRAC: MXN 120-300 excavación + 150-350 compactación por m³</t>
  </si>
  <si>
    <t xml:space="preserve">  mes inicio obra plataforma</t>
  </si>
  <si>
    <t xml:space="preserve">  mes fin obra plataforma</t>
  </si>
  <si>
    <t xml:space="preserve">Servicios de la plataforma: drenaje, acceso, acometida CFE ($)</t>
  </si>
  <si>
    <t xml:space="preserve">Estimación; la acometida CFE es el gate real</t>
  </si>
  <si>
    <t xml:space="preserve">  mes inicio servicios</t>
  </si>
  <si>
    <t xml:space="preserve">  mes fin servicios</t>
  </si>
  <si>
    <t xml:space="preserve">Urbanización residencial ($/m² vendible)</t>
  </si>
  <si>
    <t xml:space="preserve">LAPIS 2026: MXN 500-2.500/m²; ladera empuja al medio-alto; Omar Hdez usaba 18-35 solo tierra</t>
  </si>
  <si>
    <t xml:space="preserve">  mes inicio urbanización</t>
  </si>
  <si>
    <t xml:space="preserve">  mes fin urbanización</t>
  </si>
  <si>
    <t xml:space="preserve">Contingencia sobre obra (%)</t>
  </si>
  <si>
    <t xml:space="preserve">Cortesía a Manuel Cárdenas ($, contra individualizaciones)</t>
  </si>
  <si>
    <t xml:space="preserve">Se paga por lote vendido: 500.000 / lotes</t>
  </si>
  <si>
    <t xml:space="preserve">Comisiones de venta (%)</t>
  </si>
  <si>
    <t xml:space="preserve">Omar Hdez: 8 %</t>
  </si>
  <si>
    <t xml:space="preserve">Administración (%)</t>
  </si>
  <si>
    <t xml:space="preserve">DEUDA CONTRA EL COLATERAL</t>
  </si>
  <si>
    <t xml:space="preserve">Monto ($)</t>
  </si>
  <si>
    <t xml:space="preserve">LTV 35-40 % sobre 5,6-9 M; bullet a la venta de la plataforma</t>
  </si>
  <si>
    <t xml:space="preserve">Mes de disposición</t>
  </si>
  <si>
    <t xml:space="preserve">Tasa anual (%)</t>
  </si>
  <si>
    <t xml:space="preserve">Privado/sofom MX 18-30 %; inversionistas de la casa 12-18 %</t>
  </si>
  <si>
    <t xml:space="preserve">Comisión de apertura (%)</t>
  </si>
  <si>
    <t xml:space="preserve">Mes de pago (bullet)</t>
  </si>
  <si>
    <t xml:space="preserve">Igual al mes de venta de la plataforma</t>
  </si>
  <si>
    <t xml:space="preserve">INVERSIONISTA DE CAPITAL</t>
  </si>
  <si>
    <t xml:space="preserve">Aporte ($)</t>
  </si>
  <si>
    <t xml:space="preserve">1,5 a 2,0 M según Moshe; 4 tramos iguales en los meses 1, 3, 5 y 7</t>
  </si>
  <si>
    <t xml:space="preserve">Mes de inicio de distribuciones</t>
  </si>
  <si>
    <t xml:space="preserve">No se reparte caja durante la obra; se reserva el ISR pendiente</t>
  </si>
  <si>
    <t xml:space="preserve">Opción A · % del profit al inversionista</t>
  </si>
  <si>
    <t xml:space="preserve">Moshe: 35 % del profit; el 65 % restante en 65/35 KVR/Castela</t>
  </si>
  <si>
    <t xml:space="preserve">Opción A · % de KVR sobre el resto</t>
  </si>
  <si>
    <t xml:space="preserve">Opción B · cupón anual del crédito participativo (%)</t>
  </si>
  <si>
    <t xml:space="preserve">Se paga acumulado al devolver el principal (mes de venta de la plataforma)</t>
  </si>
  <si>
    <t xml:space="preserve">Opción B · participación en el profit (%)</t>
  </si>
  <si>
    <t xml:space="preserve">IMPUESTOS</t>
  </si>
  <si>
    <t xml:space="preserve">Base fiscal de la tierra · caso avalúo ($)</t>
  </si>
  <si>
    <t xml:space="preserve">Transmisión declarada a avalúo; primera enajenación del ejidatario exenta de ISR (confirmar con fiscalista)</t>
  </si>
  <si>
    <t xml:space="preserve">Base fiscal de la tierra · caso bajo ($)</t>
  </si>
  <si>
    <t xml:space="preserve">Si la transmisión se declara al valor de la cortesía</t>
  </si>
  <si>
    <t xml:space="preserve">ISR (%)</t>
  </si>
  <si>
    <t xml:space="preserve">Persona moral MX</t>
  </si>
  <si>
    <t xml:space="preserve">Mes de pago ISR plataforma</t>
  </si>
  <si>
    <t xml:space="preserve">Primera aproximación: dos pagos, plataforma y resto</t>
  </si>
  <si>
    <t xml:space="preserve">Mes de pago ISR residencial</t>
  </si>
  <si>
    <t xml:space="preserve">Flujo mensual (USD) · 84 meses · columna B = total</t>
  </si>
  <si>
    <t xml:space="preserve">Mes</t>
  </si>
  <si>
    <t xml:space="preserve">Lotes vendidos</t>
  </si>
  <si>
    <t xml:space="preserve">Lotes acumulados</t>
  </si>
  <si>
    <t xml:space="preserve">Valor de lotes vendidos (precio total)</t>
  </si>
  <si>
    <t xml:space="preserve">Ingreso · enganche de lotes</t>
  </si>
  <si>
    <t xml:space="preserve">Cuota mensual por lote financiado</t>
  </si>
  <si>
    <t xml:space="preserve">Ingreso · cobranza de lotes financiados</t>
  </si>
  <si>
    <t xml:space="preserve">Ingreso · venta plataforma industrial</t>
  </si>
  <si>
    <t xml:space="preserve">Ingreso · venta suelo comercial</t>
  </si>
  <si>
    <t xml:space="preserve">TOTAL INGRESOS (caja)</t>
  </si>
  <si>
    <t xml:space="preserve">Ventas devengadas (para comisiones y admin)</t>
  </si>
  <si>
    <t xml:space="preserve">Movimiento de tierra plataforma</t>
  </si>
  <si>
    <t xml:space="preserve">Servicios plataforma</t>
  </si>
  <si>
    <t xml:space="preserve">Cortesía Cárdenas (por lote individualizado)</t>
  </si>
  <si>
    <t xml:space="preserve">Comisiones de venta</t>
  </si>
  <si>
    <t xml:space="preserve">Administración</t>
  </si>
  <si>
    <t xml:space="preserve">TOTAL EGRESOS OPERATIVOS</t>
  </si>
  <si>
    <t xml:space="preserve">FLUJO OPERATIVO</t>
  </si>
  <si>
    <t xml:space="preserve">Deuda · disposición</t>
  </si>
  <si>
    <t xml:space="preserve">Deuda · comisión de apertura</t>
  </si>
  <si>
    <t xml:space="preserve">Deuda · intereses</t>
  </si>
  <si>
    <t xml:space="preserve">Deuda · amortización (bullet)</t>
  </si>
  <si>
    <t xml:space="preserve">Saldo de deuda (fin de mes)</t>
  </si>
  <si>
    <t xml:space="preserve">FLUJO DESPUÉS DE DEUDA</t>
  </si>
  <si>
    <t xml:space="preserve">Aporte del inversionista (4 tramos)</t>
  </si>
  <si>
    <t xml:space="preserve">ISR pagado (caso base fiscal = avalúo)</t>
  </si>
  <si>
    <t xml:space="preserve">FLUJO NETO ANTES DE DISTRIBUCIONES</t>
  </si>
  <si>
    <t xml:space="preserve">Caja al inicio</t>
  </si>
  <si>
    <t xml:space="preserve">Caja disponible</t>
  </si>
  <si>
    <t xml:space="preserve">DISTRIBUCIÓN TOTAL (caja menos ISR pendiente)</t>
  </si>
  <si>
    <t xml:space="preserve">Caja al cierre</t>
  </si>
  <si>
    <t xml:space="preserve">OPCIÓN A · capital con 35 % del profit</t>
  </si>
  <si>
    <t xml:space="preserve">Inversionista · devolución de capital</t>
  </si>
  <si>
    <t xml:space="preserve">Profit distribuido (total − devolución)</t>
  </si>
  <si>
    <t xml:space="preserve">Inversionista · 35 % del profit</t>
  </si>
  <si>
    <t xml:space="preserve">KVR · 65 % del resto</t>
  </si>
  <si>
    <t xml:space="preserve">Castela · 35 % del resto</t>
  </si>
  <si>
    <t xml:space="preserve">FLUJO DEL INVERSIONISTA A</t>
  </si>
  <si>
    <t xml:space="preserve">OPCIÓN B · crédito participativo (cupón + 20 % del profit)</t>
  </si>
  <si>
    <t xml:space="preserve">Cupón acumulado pagado al devolver principal</t>
  </si>
  <si>
    <t xml:space="preserve">Inversionista B · participación</t>
  </si>
  <si>
    <t xml:space="preserve">KVR B</t>
  </si>
  <si>
    <t xml:space="preserve">Castela B</t>
  </si>
  <si>
    <t xml:space="preserve">FLUJO DEL INVERSIONISTA B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</si>
</sst>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#,##0;\(#,##0\);\-"/>
    <numFmt numFmtId="167" formatCode="0.00\x"/>
    <numFmt numFmtId="168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B1F3A"/>
      <name val="Arial"/>
      <family val="0"/>
      <charset val="1"/>
    </font>
    <font>
      <sz val="11"/>
      <color theme="1"/>
      <name val="Arial"/>
      <family val="0"/>
      <charset val="1"/>
    </font>
    <font>
      <sz val="9"/>
      <color rgb="FF5B647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1F3A"/>
        <bgColor rgb="FF003300"/>
      </patternFill>
    </fill>
    <fill>
      <patternFill patternType="solid">
        <fgColor rgb="FFFFFF00"/>
        <bgColor rgb="FFFFFF00"/>
      </patternFill>
    </fill>
    <fill>
      <patternFill patternType="solid">
        <fgColor rgb="FFECE5D6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C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B1F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4" min="2" style="0" width="18"/>
    <col collapsed="false" customWidth="true" hidden="false" outlineLevel="0" max="5" min="5" style="0" width="44"/>
    <col collapsed="false" customWidth="true" hidden="false" outlineLevel="0" max="6" min="6" style="0" width="14"/>
  </cols>
  <sheetData>
    <row r="1" customFormat="false" ht="16.1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</row>
    <row r="4" customFormat="false" ht="15" hidden="false" customHeight="false" outlineLevel="0" collapsed="false">
      <c r="A4" s="4" t="s">
        <v>2</v>
      </c>
      <c r="B4" s="5"/>
      <c r="C4" s="5"/>
      <c r="D4" s="5"/>
      <c r="E4" s="5"/>
      <c r="F4" s="2"/>
    </row>
    <row r="5" customFormat="false" ht="15" hidden="false" customHeight="false" outlineLevel="0" collapsed="false">
      <c r="A5" s="6" t="s">
        <v>3</v>
      </c>
      <c r="B5" s="7" t="n">
        <f aca="false">Flujo!B11</f>
        <v>5242500</v>
      </c>
      <c r="C5" s="2"/>
      <c r="D5" s="2"/>
      <c r="E5" s="2"/>
      <c r="F5" s="2"/>
    </row>
    <row r="6" customFormat="false" ht="15" hidden="false" customHeight="false" outlineLevel="0" collapsed="false">
      <c r="A6" s="6" t="s">
        <v>4</v>
      </c>
      <c r="B6" s="7" t="n">
        <f aca="false">Flujo!B8+Flujo!B10</f>
        <v>5257490.80808052</v>
      </c>
      <c r="C6" s="2"/>
      <c r="D6" s="2"/>
      <c r="E6" s="2"/>
      <c r="F6" s="2"/>
    </row>
    <row r="7" customFormat="false" ht="15" hidden="false" customHeight="false" outlineLevel="0" collapsed="false">
      <c r="A7" s="6" t="s">
        <v>5</v>
      </c>
      <c r="B7" s="7" t="n">
        <f aca="false">Flujo!B12</f>
        <v>1785000</v>
      </c>
      <c r="C7" s="2"/>
      <c r="D7" s="2"/>
      <c r="E7" s="2"/>
      <c r="F7" s="2"/>
    </row>
    <row r="8" customFormat="false" ht="15" hidden="false" customHeight="false" outlineLevel="0" collapsed="false">
      <c r="A8" s="8" t="s">
        <v>6</v>
      </c>
      <c r="B8" s="9" t="n">
        <f aca="false">SUM(B5:B7)</f>
        <v>12284990.8080805</v>
      </c>
      <c r="C8" s="2"/>
      <c r="D8" s="2"/>
      <c r="E8" s="2"/>
      <c r="F8" s="2"/>
    </row>
    <row r="9" customFormat="false" ht="15" hidden="false" customHeight="false" outlineLevel="0" collapsed="false">
      <c r="A9" s="6" t="s">
        <v>7</v>
      </c>
      <c r="B9" s="7" t="n">
        <f aca="false">-Flujo!B16</f>
        <v>-450000</v>
      </c>
      <c r="C9" s="2"/>
      <c r="D9" s="2"/>
      <c r="E9" s="2"/>
      <c r="F9" s="2"/>
    </row>
    <row r="10" customFormat="false" ht="15" hidden="false" customHeight="false" outlineLevel="0" collapsed="false">
      <c r="A10" s="6" t="s">
        <v>8</v>
      </c>
      <c r="B10" s="7" t="n">
        <f aca="false">-(Flujo!B17+Flujo!B18)</f>
        <v>-1875112</v>
      </c>
      <c r="C10" s="2"/>
      <c r="D10" s="2"/>
      <c r="E10" s="2"/>
      <c r="F10" s="2"/>
    </row>
    <row r="11" customFormat="false" ht="15" hidden="false" customHeight="false" outlineLevel="0" collapsed="false">
      <c r="A11" s="6" t="s">
        <v>9</v>
      </c>
      <c r="B11" s="7" t="n">
        <f aca="false">-Flujo!B19</f>
        <v>-1530000</v>
      </c>
      <c r="C11" s="2"/>
      <c r="D11" s="2"/>
      <c r="E11" s="2"/>
      <c r="F11" s="2"/>
    </row>
    <row r="12" customFormat="false" ht="15" hidden="false" customHeight="false" outlineLevel="0" collapsed="false">
      <c r="A12" s="6" t="s">
        <v>10</v>
      </c>
      <c r="B12" s="7" t="n">
        <f aca="false">-Flujo!B20</f>
        <v>-340511.2</v>
      </c>
      <c r="C12" s="2"/>
      <c r="D12" s="2"/>
      <c r="E12" s="2"/>
      <c r="F12" s="2"/>
    </row>
    <row r="13" customFormat="false" ht="15" hidden="false" customHeight="false" outlineLevel="0" collapsed="false">
      <c r="A13" s="6" t="s">
        <v>11</v>
      </c>
      <c r="B13" s="7" t="n">
        <f aca="false">-Flujo!B21</f>
        <v>-500000</v>
      </c>
      <c r="C13" s="2"/>
      <c r="D13" s="2"/>
      <c r="E13" s="2"/>
      <c r="F13" s="2"/>
    </row>
    <row r="14" customFormat="false" ht="15" hidden="false" customHeight="false" outlineLevel="0" collapsed="false">
      <c r="A14" s="6" t="s">
        <v>12</v>
      </c>
      <c r="B14" s="7" t="n">
        <f aca="false">-(Flujo!B22+Flujo!B23)</f>
        <v>-1281665</v>
      </c>
      <c r="C14" s="2"/>
      <c r="D14" s="2"/>
      <c r="E14" s="2"/>
      <c r="F14" s="2"/>
    </row>
    <row r="15" customFormat="false" ht="15" hidden="false" customHeight="false" outlineLevel="0" collapsed="false">
      <c r="A15" s="6" t="s">
        <v>13</v>
      </c>
      <c r="B15" s="7" t="n">
        <f aca="false">Flujo!B28+Flujo!B29</f>
        <v>-360000</v>
      </c>
      <c r="C15" s="2"/>
      <c r="D15" s="2"/>
      <c r="E15" s="2"/>
      <c r="F15" s="2"/>
    </row>
    <row r="16" customFormat="false" ht="15" hidden="false" customHeight="false" outlineLevel="0" collapsed="false">
      <c r="A16" s="8" t="s">
        <v>14</v>
      </c>
      <c r="B16" s="9" t="n">
        <f aca="false">SUM(B9:B15)</f>
        <v>-6337288.2</v>
      </c>
      <c r="C16" s="2"/>
      <c r="D16" s="2"/>
      <c r="E16" s="2"/>
      <c r="F16" s="2"/>
    </row>
    <row r="17" customFormat="false" ht="15" hidden="false" customHeight="false" outlineLevel="0" collapsed="false">
      <c r="A17" s="8" t="s">
        <v>15</v>
      </c>
      <c r="B17" s="9" t="n">
        <f aca="false">B8+B16</f>
        <v>5947702.60808052</v>
      </c>
      <c r="C17" s="2"/>
      <c r="D17" s="2"/>
      <c r="E17" s="3" t="s">
        <v>16</v>
      </c>
      <c r="F17" s="2"/>
    </row>
    <row r="18" customFormat="false" ht="15" hidden="false" customHeight="false" outlineLevel="0" collapsed="false">
      <c r="A18" s="2"/>
      <c r="B18" s="2"/>
      <c r="C18" s="2"/>
      <c r="D18" s="2"/>
      <c r="E18" s="2"/>
      <c r="F18" s="2"/>
    </row>
    <row r="19" customFormat="false" ht="15" hidden="false" customHeight="false" outlineLevel="0" collapsed="false">
      <c r="A19" s="4" t="s">
        <v>17</v>
      </c>
      <c r="B19" s="5"/>
      <c r="C19" s="5"/>
      <c r="D19" s="5"/>
      <c r="E19" s="5"/>
      <c r="F19" s="2"/>
    </row>
    <row r="20" customFormat="false" ht="15" hidden="false" customHeight="false" outlineLevel="0" collapsed="false">
      <c r="A20" s="6" t="s">
        <v>18</v>
      </c>
      <c r="B20" s="10" t="n">
        <f aca="false">Supuestos!$B$6+Supuestos!$B$7+Supuestos!$B$8</f>
        <v>68950</v>
      </c>
      <c r="C20" s="2"/>
      <c r="D20" s="2"/>
      <c r="E20" s="2"/>
      <c r="F20" s="2"/>
    </row>
    <row r="21" customFormat="false" ht="15" hidden="false" customHeight="false" outlineLevel="0" collapsed="false">
      <c r="A21" s="6" t="s">
        <v>19</v>
      </c>
      <c r="B21" s="7" t="n">
        <f aca="false">Supuestos!$B$53*B20/Supuestos!$B$5</f>
        <v>4303726.35915361</v>
      </c>
      <c r="C21" s="2"/>
      <c r="D21" s="2"/>
      <c r="E21" s="3" t="s">
        <v>20</v>
      </c>
      <c r="F21" s="2"/>
    </row>
    <row r="22" customFormat="false" ht="15" hidden="false" customHeight="false" outlineLevel="0" collapsed="false">
      <c r="A22" s="6" t="s">
        <v>21</v>
      </c>
      <c r="B22" s="7" t="n">
        <f aca="false">Supuestos!$B$54*B20/Supuestos!$B$5</f>
        <v>307409.025653829</v>
      </c>
      <c r="C22" s="2"/>
      <c r="D22" s="2"/>
      <c r="E22" s="2"/>
      <c r="F22" s="2"/>
    </row>
    <row r="23" customFormat="false" ht="15" hidden="false" customHeight="false" outlineLevel="0" collapsed="false">
      <c r="A23" s="6" t="s">
        <v>22</v>
      </c>
      <c r="B23" s="7" t="n">
        <f aca="false">-B16</f>
        <v>6337288.2</v>
      </c>
      <c r="C23" s="2"/>
      <c r="D23" s="2"/>
      <c r="E23" s="2"/>
      <c r="F23" s="2"/>
    </row>
    <row r="24" customFormat="false" ht="15" hidden="false" customHeight="false" outlineLevel="0" collapsed="false">
      <c r="A24" s="6" t="s">
        <v>23</v>
      </c>
      <c r="B24" s="7" t="n">
        <f aca="false">MAX(0,B8-B23-B21)</f>
        <v>1643976.24892691</v>
      </c>
      <c r="C24" s="2"/>
      <c r="D24" s="2"/>
      <c r="E24" s="2"/>
      <c r="F24" s="2"/>
    </row>
    <row r="25" customFormat="false" ht="15" hidden="false" customHeight="false" outlineLevel="0" collapsed="false">
      <c r="A25" s="6" t="s">
        <v>24</v>
      </c>
      <c r="B25" s="7" t="n">
        <f aca="false">MAX(0,B8-B23-B22)</f>
        <v>5640293.58242669</v>
      </c>
      <c r="C25" s="2"/>
      <c r="D25" s="2"/>
      <c r="E25" s="2"/>
      <c r="F25" s="2"/>
    </row>
    <row r="26" customFormat="false" ht="15" hidden="false" customHeight="false" outlineLevel="0" collapsed="false">
      <c r="A26" s="8" t="s">
        <v>25</v>
      </c>
      <c r="B26" s="9" t="n">
        <f aca="false">B24*Supuestos!$B$55</f>
        <v>493192.874678073</v>
      </c>
      <c r="C26" s="2"/>
      <c r="D26" s="2"/>
      <c r="E26" s="3" t="s">
        <v>26</v>
      </c>
      <c r="F26" s="2"/>
    </row>
    <row r="27" customFormat="false" ht="15" hidden="false" customHeight="false" outlineLevel="0" collapsed="false">
      <c r="A27" s="6" t="s">
        <v>27</v>
      </c>
      <c r="B27" s="7" t="n">
        <f aca="false">B26*B5/B8</f>
        <v>210465.248683713</v>
      </c>
      <c r="C27" s="2"/>
      <c r="D27" s="2"/>
      <c r="E27" s="2"/>
      <c r="F27" s="2"/>
    </row>
    <row r="28" customFormat="false" ht="15" hidden="false" customHeight="false" outlineLevel="0" collapsed="false">
      <c r="A28" s="6" t="s">
        <v>28</v>
      </c>
      <c r="B28" s="7" t="n">
        <f aca="false">B26-B27</f>
        <v>282727.62599436</v>
      </c>
      <c r="C28" s="2"/>
      <c r="D28" s="2"/>
      <c r="E28" s="2"/>
      <c r="F28" s="2"/>
    </row>
    <row r="29" customFormat="false" ht="15" hidden="false" customHeight="false" outlineLevel="0" collapsed="false">
      <c r="A29" s="6" t="s">
        <v>29</v>
      </c>
      <c r="B29" s="7" t="n">
        <f aca="false">B25*Supuestos!$B$55</f>
        <v>1692088.07472801</v>
      </c>
      <c r="C29" s="2"/>
      <c r="D29" s="2"/>
      <c r="E29" s="3" t="s">
        <v>30</v>
      </c>
      <c r="F29" s="2"/>
    </row>
    <row r="30" customFormat="false" ht="15" hidden="false" customHeight="false" outlineLevel="0" collapsed="false">
      <c r="A30" s="8" t="s">
        <v>31</v>
      </c>
      <c r="B30" s="9" t="n">
        <f aca="false">B29-B26</f>
        <v>1198895.20004993</v>
      </c>
      <c r="C30" s="2"/>
      <c r="D30" s="2"/>
      <c r="E30" s="2"/>
      <c r="F30" s="2"/>
    </row>
    <row r="31" customFormat="false" ht="15" hidden="false" customHeight="false" outlineLevel="0" collapsed="false">
      <c r="A31" s="8" t="s">
        <v>32</v>
      </c>
      <c r="B31" s="9" t="n">
        <f aca="false">B17-B26</f>
        <v>5454509.73340245</v>
      </c>
      <c r="C31" s="2"/>
      <c r="D31" s="2"/>
      <c r="E31" s="2"/>
      <c r="F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</row>
    <row r="33" customFormat="false" ht="15" hidden="false" customHeight="false" outlineLevel="0" collapsed="false">
      <c r="A33" s="4" t="s">
        <v>33</v>
      </c>
      <c r="B33" s="5"/>
      <c r="C33" s="5"/>
      <c r="D33" s="5"/>
      <c r="E33" s="5"/>
      <c r="F33" s="2"/>
    </row>
    <row r="34" customFormat="false" ht="15" hidden="false" customHeight="false" outlineLevel="0" collapsed="false">
      <c r="A34" s="6" t="s">
        <v>34</v>
      </c>
      <c r="B34" s="7" t="n">
        <f aca="false">MIN(Flujo!C40:CH40)</f>
        <v>0</v>
      </c>
      <c r="C34" s="2"/>
      <c r="D34" s="2"/>
      <c r="E34" s="3" t="s">
        <v>35</v>
      </c>
      <c r="F34" s="2"/>
    </row>
    <row r="35" customFormat="false" ht="15" hidden="false" customHeight="false" outlineLevel="0" collapsed="false">
      <c r="A35" s="6" t="s">
        <v>36</v>
      </c>
      <c r="B35" s="7" t="n">
        <f aca="false">MIN(Flujo!C25:CH25)</f>
        <v>-354578.022244699</v>
      </c>
      <c r="C35" s="2"/>
      <c r="D35" s="2"/>
      <c r="E35" s="3" t="s">
        <v>37</v>
      </c>
      <c r="F35" s="2"/>
    </row>
    <row r="36" customFormat="false" ht="15" hidden="false" customHeight="false" outlineLevel="0" collapsed="false">
      <c r="A36" s="6" t="s">
        <v>38</v>
      </c>
      <c r="B36" s="7" t="n">
        <f aca="false">Supuestos!$B$40</f>
        <v>2000000</v>
      </c>
      <c r="C36" s="2"/>
      <c r="D36" s="2"/>
      <c r="E36" s="2"/>
      <c r="F36" s="2"/>
    </row>
    <row r="37" customFormat="false" ht="15" hidden="false" customHeight="false" outlineLevel="0" collapsed="false">
      <c r="A37" s="6" t="s">
        <v>39</v>
      </c>
      <c r="B37" s="7" t="n">
        <f aca="false">-B15</f>
        <v>360000</v>
      </c>
      <c r="C37" s="2"/>
      <c r="D37" s="2"/>
      <c r="E37" s="2"/>
      <c r="F37" s="2"/>
    </row>
    <row r="38" customFormat="false" ht="15" hidden="false" customHeight="false" outlineLevel="0" collapsed="false">
      <c r="A38" s="8" t="s">
        <v>40</v>
      </c>
      <c r="B38" s="9" t="n">
        <f aca="false">Flujo!B39</f>
        <v>7454509.73340245</v>
      </c>
      <c r="C38" s="2"/>
      <c r="D38" s="2"/>
      <c r="E38" s="2"/>
      <c r="F38" s="2"/>
    </row>
    <row r="39" customFormat="false" ht="15" hidden="false" customHeight="false" outlineLevel="0" collapsed="false">
      <c r="A39" s="2"/>
      <c r="B39" s="2"/>
      <c r="C39" s="2"/>
      <c r="D39" s="2"/>
      <c r="E39" s="2"/>
      <c r="F39" s="2"/>
    </row>
    <row r="40" customFormat="false" ht="15" hidden="false" customHeight="false" outlineLevel="0" collapsed="false">
      <c r="A40" s="4" t="s">
        <v>41</v>
      </c>
      <c r="B40" s="5"/>
      <c r="C40" s="5"/>
      <c r="D40" s="5"/>
      <c r="E40" s="5"/>
      <c r="F40" s="2"/>
    </row>
    <row r="41" customFormat="false" ht="15" hidden="false" customHeight="false" outlineLevel="0" collapsed="false">
      <c r="A41" s="2"/>
      <c r="B41" s="8" t="s">
        <v>42</v>
      </c>
      <c r="C41" s="8" t="s">
        <v>43</v>
      </c>
      <c r="D41" s="8" t="s">
        <v>44</v>
      </c>
      <c r="E41" s="2"/>
      <c r="F41" s="2"/>
    </row>
    <row r="42" customFormat="false" ht="15" hidden="false" customHeight="false" outlineLevel="0" collapsed="false">
      <c r="A42" s="6" t="s">
        <v>45</v>
      </c>
      <c r="B42" s="7" t="n">
        <f aca="false">Flujo!B43+Flujo!B45</f>
        <v>3909078.40669086</v>
      </c>
      <c r="C42" s="11" t="n">
        <f aca="false">B42/Supuestos!$B$46</f>
        <v>1.95453920334543</v>
      </c>
      <c r="D42" s="12" t="n">
        <f aca="false">(1+IRR(Flujo!C48:CH48,0.03))^12-1</f>
        <v>0.360867196733009</v>
      </c>
      <c r="E42" s="2"/>
      <c r="F42" s="2"/>
    </row>
    <row r="43" customFormat="false" ht="15" hidden="false" customHeight="false" outlineLevel="0" collapsed="false">
      <c r="A43" s="6" t="s">
        <v>46</v>
      </c>
      <c r="B43" s="7" t="n">
        <f aca="false">Flujo!B46</f>
        <v>2304530.36236253</v>
      </c>
      <c r="C43" s="2"/>
      <c r="D43" s="2"/>
      <c r="E43" s="2"/>
      <c r="F43" s="2"/>
    </row>
    <row r="44" customFormat="false" ht="15" hidden="false" customHeight="false" outlineLevel="0" collapsed="false">
      <c r="A44" s="6" t="s">
        <v>47</v>
      </c>
      <c r="B44" s="7" t="n">
        <f aca="false">Flujo!B47</f>
        <v>1240900.96434906</v>
      </c>
      <c r="C44" s="2"/>
      <c r="D44" s="2"/>
      <c r="E44" s="2"/>
      <c r="F44" s="2"/>
    </row>
    <row r="45" customFormat="false" ht="15" hidden="false" customHeight="false" outlineLevel="0" collapsed="false">
      <c r="A45" s="8" t="s">
        <v>48</v>
      </c>
      <c r="B45" s="9" t="n">
        <f aca="false">Flujo!B44</f>
        <v>5454509.73340245</v>
      </c>
      <c r="C45" s="2"/>
      <c r="D45" s="2"/>
      <c r="E45" s="2"/>
      <c r="F45" s="2"/>
    </row>
    <row r="46" customFormat="false" ht="15" hidden="false" customHeight="false" outlineLevel="0" collapsed="false">
      <c r="A46" s="2"/>
      <c r="B46" s="2"/>
      <c r="C46" s="2"/>
      <c r="D46" s="2"/>
      <c r="E46" s="2"/>
      <c r="F46" s="2"/>
    </row>
    <row r="47" customFormat="false" ht="15" hidden="false" customHeight="false" outlineLevel="0" collapsed="false">
      <c r="A47" s="4" t="s">
        <v>49</v>
      </c>
      <c r="B47" s="5"/>
      <c r="C47" s="5"/>
      <c r="D47" s="5"/>
      <c r="E47" s="5"/>
      <c r="F47" s="2"/>
    </row>
    <row r="48" customFormat="false" ht="15" hidden="false" customHeight="false" outlineLevel="0" collapsed="false">
      <c r="A48" s="2"/>
      <c r="B48" s="8" t="s">
        <v>42</v>
      </c>
      <c r="C48" s="8" t="s">
        <v>43</v>
      </c>
      <c r="D48" s="8" t="s">
        <v>44</v>
      </c>
      <c r="E48" s="2"/>
      <c r="F48" s="2"/>
    </row>
    <row r="49" customFormat="false" ht="15" hidden="false" customHeight="false" outlineLevel="0" collapsed="false">
      <c r="A49" s="6" t="s">
        <v>50</v>
      </c>
      <c r="B49" s="7" t="n">
        <f aca="false">Flujo!B43+Flujo!B51+Flujo!B52</f>
        <v>3324235.28001382</v>
      </c>
      <c r="C49" s="11" t="n">
        <f aca="false">B49/Supuestos!$B$46</f>
        <v>1.66211764000691</v>
      </c>
      <c r="D49" s="12" t="n">
        <f aca="false">(1+IRR(Flujo!C55:CH55,0.03))^12-1</f>
        <v>0.293260773354836</v>
      </c>
      <c r="E49" s="2"/>
      <c r="F49" s="2"/>
    </row>
    <row r="50" customFormat="false" ht="15" hidden="false" customHeight="false" outlineLevel="0" collapsed="false">
      <c r="A50" s="6" t="s">
        <v>51</v>
      </c>
      <c r="B50" s="7" t="n">
        <f aca="false">Flujo!B53</f>
        <v>2836345.06136927</v>
      </c>
      <c r="C50" s="2"/>
      <c r="D50" s="2"/>
      <c r="E50" s="2"/>
      <c r="F50" s="2"/>
    </row>
    <row r="51" customFormat="false" ht="15" hidden="false" customHeight="false" outlineLevel="0" collapsed="false">
      <c r="A51" s="6" t="s">
        <v>52</v>
      </c>
      <c r="B51" s="7" t="n">
        <f aca="false">Flujo!B54</f>
        <v>1527262.72535269</v>
      </c>
      <c r="C51" s="2"/>
      <c r="D51" s="2"/>
      <c r="E51" s="2"/>
      <c r="F51" s="2"/>
    </row>
    <row r="52" customFormat="false" ht="15" hidden="false" customHeight="false" outlineLevel="0" collapsed="false">
      <c r="A52" s="2"/>
      <c r="B52" s="2"/>
      <c r="C52" s="2"/>
      <c r="D52" s="2"/>
      <c r="E52" s="2"/>
      <c r="F52" s="2"/>
    </row>
    <row r="53" customFormat="false" ht="15" hidden="false" customHeight="false" outlineLevel="0" collapsed="false">
      <c r="A53" s="4" t="s">
        <v>53</v>
      </c>
      <c r="B53" s="5"/>
      <c r="C53" s="5"/>
      <c r="D53" s="5"/>
      <c r="E53" s="5"/>
      <c r="F53" s="2"/>
    </row>
    <row r="54" customFormat="false" ht="15" hidden="false" customHeight="false" outlineLevel="0" collapsed="false">
      <c r="A54" s="8" t="s">
        <v>54</v>
      </c>
      <c r="B54" s="13" t="n">
        <v>100</v>
      </c>
      <c r="C54" s="13" t="n">
        <v>125</v>
      </c>
      <c r="D54" s="13" t="n">
        <v>150</v>
      </c>
      <c r="E54" s="13" t="n">
        <v>175</v>
      </c>
      <c r="F54" s="13" t="n">
        <v>200</v>
      </c>
    </row>
    <row r="55" customFormat="false" ht="15" hidden="false" customHeight="false" outlineLevel="0" collapsed="false">
      <c r="A55" s="13" t="n">
        <v>5</v>
      </c>
      <c r="B55" s="14" t="n">
        <f aca="false">$B$17+(B$54-Supuestos!$B$12)*Supuestos!$B$6*(1-Supuestos!$B$37-Supuestos!$B$38)-($A55-Supuestos!$B$26)*Supuestos!$B$25*(1+Supuestos!$B$35)</f>
        <v>4662864.80808052</v>
      </c>
      <c r="C55" s="14" t="n">
        <f aca="false">$B$17+(C$54-Supuestos!$B$12)*Supuestos!$B$6*(1-Supuestos!$B$37-Supuestos!$B$38)-($A55-Supuestos!$B$26)*Supuestos!$B$25*(1+Supuestos!$B$35)</f>
        <v>5440502.30808052</v>
      </c>
      <c r="D55" s="14" t="n">
        <f aca="false">$B$17+(D$54-Supuestos!$B$12)*Supuestos!$B$6*(1-Supuestos!$B$37-Supuestos!$B$38)-($A55-Supuestos!$B$26)*Supuestos!$B$25*(1+Supuestos!$B$35)</f>
        <v>6218139.80808052</v>
      </c>
      <c r="E55" s="14" t="n">
        <f aca="false">$B$17+(E$54-Supuestos!$B$12)*Supuestos!$B$6*(1-Supuestos!$B$37-Supuestos!$B$38)-($A55-Supuestos!$B$26)*Supuestos!$B$25*(1+Supuestos!$B$35)</f>
        <v>6995777.30808052</v>
      </c>
      <c r="F55" s="14" t="n">
        <f aca="false">$B$17+(F$54-Supuestos!$B$12)*Supuestos!$B$6*(1-Supuestos!$B$37-Supuestos!$B$38)-($A55-Supuestos!$B$26)*Supuestos!$B$25*(1+Supuestos!$B$35)</f>
        <v>7773414.80808052</v>
      </c>
    </row>
    <row r="56" customFormat="false" ht="15" hidden="false" customHeight="false" outlineLevel="0" collapsed="false">
      <c r="A56" s="13" t="n">
        <v>7</v>
      </c>
      <c r="B56" s="14" t="n">
        <f aca="false">$B$17+(B$54-Supuestos!$B$12)*Supuestos!$B$6*(1-Supuestos!$B$37-Supuestos!$B$38)-($A56-Supuestos!$B$26)*Supuestos!$B$25*(1+Supuestos!$B$35)</f>
        <v>4121990.40808052</v>
      </c>
      <c r="C56" s="14" t="n">
        <f aca="false">$B$17+(C$54-Supuestos!$B$12)*Supuestos!$B$6*(1-Supuestos!$B$37-Supuestos!$B$38)-($A56-Supuestos!$B$26)*Supuestos!$B$25*(1+Supuestos!$B$35)</f>
        <v>4899627.90808052</v>
      </c>
      <c r="D56" s="14" t="n">
        <f aca="false">$B$17+(D$54-Supuestos!$B$12)*Supuestos!$B$6*(1-Supuestos!$B$37-Supuestos!$B$38)-($A56-Supuestos!$B$26)*Supuestos!$B$25*(1+Supuestos!$B$35)</f>
        <v>5677265.40808052</v>
      </c>
      <c r="E56" s="14" t="n">
        <f aca="false">$B$17+(E$54-Supuestos!$B$12)*Supuestos!$B$6*(1-Supuestos!$B$37-Supuestos!$B$38)-($A56-Supuestos!$B$26)*Supuestos!$B$25*(1+Supuestos!$B$35)</f>
        <v>6454902.90808052</v>
      </c>
      <c r="F56" s="14" t="n">
        <f aca="false">$B$17+(F$54-Supuestos!$B$12)*Supuestos!$B$6*(1-Supuestos!$B$37-Supuestos!$B$38)-($A56-Supuestos!$B$26)*Supuestos!$B$25*(1+Supuestos!$B$35)</f>
        <v>7232540.40808052</v>
      </c>
    </row>
    <row r="57" customFormat="false" ht="15" hidden="false" customHeight="false" outlineLevel="0" collapsed="false">
      <c r="A57" s="13" t="n">
        <v>9</v>
      </c>
      <c r="B57" s="14" t="n">
        <f aca="false">$B$17+(B$54-Supuestos!$B$12)*Supuestos!$B$6*(1-Supuestos!$B$37-Supuestos!$B$38)-($A57-Supuestos!$B$26)*Supuestos!$B$25*(1+Supuestos!$B$35)</f>
        <v>3581116.00808052</v>
      </c>
      <c r="C57" s="14" t="n">
        <f aca="false">$B$17+(C$54-Supuestos!$B$12)*Supuestos!$B$6*(1-Supuestos!$B$37-Supuestos!$B$38)-($A57-Supuestos!$B$26)*Supuestos!$B$25*(1+Supuestos!$B$35)</f>
        <v>4358753.50808052</v>
      </c>
      <c r="D57" s="14" t="n">
        <f aca="false">$B$17+(D$54-Supuestos!$B$12)*Supuestos!$B$6*(1-Supuestos!$B$37-Supuestos!$B$38)-($A57-Supuestos!$B$26)*Supuestos!$B$25*(1+Supuestos!$B$35)</f>
        <v>5136391.00808052</v>
      </c>
      <c r="E57" s="14" t="n">
        <f aca="false">$B$17+(E$54-Supuestos!$B$12)*Supuestos!$B$6*(1-Supuestos!$B$37-Supuestos!$B$38)-($A57-Supuestos!$B$26)*Supuestos!$B$25*(1+Supuestos!$B$35)</f>
        <v>5914028.50808052</v>
      </c>
      <c r="F57" s="14" t="n">
        <f aca="false">$B$17+(F$54-Supuestos!$B$12)*Supuestos!$B$6*(1-Supuestos!$B$37-Supuestos!$B$38)-($A57-Supuestos!$B$26)*Supuestos!$B$25*(1+Supuestos!$B$35)</f>
        <v>6691666.00808052</v>
      </c>
    </row>
    <row r="58" customFormat="false" ht="15" hidden="false" customHeight="false" outlineLevel="0" collapsed="false">
      <c r="A58" s="13" t="n">
        <v>11</v>
      </c>
      <c r="B58" s="14" t="n">
        <f aca="false">$B$17+(B$54-Supuestos!$B$12)*Supuestos!$B$6*(1-Supuestos!$B$37-Supuestos!$B$38)-($A58-Supuestos!$B$26)*Supuestos!$B$25*(1+Supuestos!$B$35)</f>
        <v>3040241.60808052</v>
      </c>
      <c r="C58" s="14" t="n">
        <f aca="false">$B$17+(C$54-Supuestos!$B$12)*Supuestos!$B$6*(1-Supuestos!$B$37-Supuestos!$B$38)-($A58-Supuestos!$B$26)*Supuestos!$B$25*(1+Supuestos!$B$35)</f>
        <v>3817879.10808052</v>
      </c>
      <c r="D58" s="14" t="n">
        <f aca="false">$B$17+(D$54-Supuestos!$B$12)*Supuestos!$B$6*(1-Supuestos!$B$37-Supuestos!$B$38)-($A58-Supuestos!$B$26)*Supuestos!$B$25*(1+Supuestos!$B$35)</f>
        <v>4595516.60808052</v>
      </c>
      <c r="E58" s="14" t="n">
        <f aca="false">$B$17+(E$54-Supuestos!$B$12)*Supuestos!$B$6*(1-Supuestos!$B$37-Supuestos!$B$38)-($A58-Supuestos!$B$26)*Supuestos!$B$25*(1+Supuestos!$B$35)</f>
        <v>5373154.10808052</v>
      </c>
      <c r="F58" s="14" t="n">
        <f aca="false">$B$17+(F$54-Supuestos!$B$12)*Supuestos!$B$6*(1-Supuestos!$B$37-Supuestos!$B$38)-($A58-Supuestos!$B$26)*Supuestos!$B$25*(1+Supuestos!$B$35)</f>
        <v>6150791.60808052</v>
      </c>
    </row>
    <row r="59" customFormat="false" ht="15" hidden="false" customHeight="false" outlineLevel="0" collapsed="false">
      <c r="A59" s="2"/>
      <c r="B59" s="2"/>
      <c r="C59" s="2"/>
      <c r="D59" s="2"/>
      <c r="E59" s="2"/>
      <c r="F59" s="2"/>
    </row>
    <row r="60" customFormat="false" ht="15" hidden="false" customHeight="false" outlineLevel="0" collapsed="false">
      <c r="A60" s="3" t="s">
        <v>55</v>
      </c>
      <c r="B60" s="2"/>
      <c r="C60" s="2"/>
      <c r="D60" s="2"/>
      <c r="E60" s="2"/>
      <c r="F60" s="2"/>
    </row>
    <row r="61" customFormat="false" ht="15" hidden="false" customHeight="false" outlineLevel="0" collapsed="false">
      <c r="A61" s="2"/>
      <c r="B61" s="2"/>
      <c r="C61" s="2"/>
      <c r="D61" s="2"/>
      <c r="E61" s="2"/>
      <c r="F61" s="2"/>
    </row>
    <row r="62" customFormat="false" ht="15" hidden="false" customHeight="false" outlineLevel="0" collapsed="false">
      <c r="A62" s="4" t="s">
        <v>56</v>
      </c>
      <c r="B62" s="5"/>
      <c r="C62" s="5"/>
      <c r="D62" s="5"/>
      <c r="E62" s="5"/>
      <c r="F62" s="2"/>
    </row>
    <row r="63" customFormat="false" ht="15" hidden="false" customHeight="false" outlineLevel="0" collapsed="false">
      <c r="A63" s="15" t="s">
        <v>57</v>
      </c>
      <c r="B63" s="2"/>
      <c r="C63" s="2"/>
      <c r="D63" s="2"/>
      <c r="E63" s="2"/>
      <c r="F63" s="2"/>
    </row>
    <row r="64" customFormat="false" ht="15" hidden="false" customHeight="false" outlineLevel="0" collapsed="false">
      <c r="A64" s="15" t="s">
        <v>58</v>
      </c>
      <c r="B64" s="2"/>
      <c r="C64" s="2"/>
      <c r="D64" s="2"/>
      <c r="E64" s="2"/>
      <c r="F64" s="2"/>
    </row>
    <row r="65" customFormat="false" ht="15" hidden="false" customHeight="false" outlineLevel="0" collapsed="false">
      <c r="A65" s="15" t="s">
        <v>59</v>
      </c>
      <c r="B65" s="2"/>
      <c r="C65" s="2"/>
      <c r="D65" s="2"/>
      <c r="E65" s="2"/>
      <c r="F65" s="2"/>
    </row>
    <row r="66" customFormat="false" ht="15" hidden="false" customHeight="false" outlineLevel="0" collapsed="false">
      <c r="A66" s="15" t="s">
        <v>60</v>
      </c>
      <c r="B66" s="2"/>
      <c r="C66" s="2"/>
      <c r="D66" s="2"/>
      <c r="E66" s="2"/>
      <c r="F66" s="2"/>
    </row>
    <row r="67" customFormat="false" ht="15" hidden="false" customHeight="false" outlineLevel="0" collapsed="false">
      <c r="A67" s="15" t="s">
        <v>61</v>
      </c>
      <c r="B67" s="2"/>
      <c r="C67" s="2"/>
      <c r="D67" s="2"/>
      <c r="E67" s="2"/>
      <c r="F67" s="2"/>
    </row>
    <row r="68" customFormat="false" ht="15" hidden="false" customHeight="false" outlineLevel="0" collapsed="false">
      <c r="A68" s="15" t="s">
        <v>62</v>
      </c>
      <c r="B68" s="2"/>
      <c r="C68" s="2"/>
      <c r="D68" s="2"/>
      <c r="E68" s="2"/>
      <c r="F68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6.15" hidden="false" customHeight="false" outlineLevel="0" collapsed="false">
      <c r="A1" s="1" t="s">
        <v>63</v>
      </c>
      <c r="B1" s="2"/>
      <c r="C1" s="2"/>
    </row>
    <row r="2" customFormat="false" ht="15" hidden="false" customHeight="false" outlineLevel="0" collapsed="false">
      <c r="A2" s="2"/>
      <c r="B2" s="2"/>
      <c r="C2" s="2"/>
    </row>
    <row r="3" customFormat="false" ht="15" hidden="false" customHeight="false" outlineLevel="0" collapsed="false">
      <c r="A3" s="4" t="s">
        <v>64</v>
      </c>
      <c r="B3" s="5"/>
      <c r="C3" s="5"/>
    </row>
    <row r="4" customFormat="false" ht="15" hidden="false" customHeight="false" outlineLevel="0" collapsed="false">
      <c r="A4" s="6" t="s">
        <v>65</v>
      </c>
      <c r="B4" s="16" t="n">
        <v>120058</v>
      </c>
      <c r="C4" s="3" t="s">
        <v>66</v>
      </c>
    </row>
    <row r="5" customFormat="false" ht="15" hidden="false" customHeight="false" outlineLevel="0" collapsed="false">
      <c r="A5" s="6" t="s">
        <v>67</v>
      </c>
      <c r="B5" s="16" t="n">
        <v>112147</v>
      </c>
      <c r="C5" s="3" t="s">
        <v>68</v>
      </c>
    </row>
    <row r="6" customFormat="false" ht="15" hidden="false" customHeight="false" outlineLevel="0" collapsed="false">
      <c r="A6" s="6" t="s">
        <v>69</v>
      </c>
      <c r="B6" s="16" t="n">
        <v>34950</v>
      </c>
      <c r="C6" s="3" t="s">
        <v>70</v>
      </c>
    </row>
    <row r="7" customFormat="false" ht="15" hidden="false" customHeight="false" outlineLevel="0" collapsed="false">
      <c r="A7" s="6" t="s">
        <v>71</v>
      </c>
      <c r="B7" s="16" t="n">
        <v>28900</v>
      </c>
      <c r="C7" s="3" t="s">
        <v>72</v>
      </c>
    </row>
    <row r="8" customFormat="false" ht="15" hidden="false" customHeight="false" outlineLevel="0" collapsed="false">
      <c r="A8" s="6" t="s">
        <v>73</v>
      </c>
      <c r="B8" s="16" t="n">
        <v>5100</v>
      </c>
      <c r="C8" s="3" t="s">
        <v>74</v>
      </c>
    </row>
    <row r="9" customFormat="false" ht="15" hidden="false" customHeight="false" outlineLevel="0" collapsed="false">
      <c r="A9" s="6" t="s">
        <v>75</v>
      </c>
      <c r="B9" s="16" t="n">
        <v>160</v>
      </c>
      <c r="C9" s="3" t="s">
        <v>76</v>
      </c>
    </row>
    <row r="10" customFormat="false" ht="15" hidden="false" customHeight="false" outlineLevel="0" collapsed="false">
      <c r="A10" s="6" t="s">
        <v>77</v>
      </c>
      <c r="B10" s="17" t="n">
        <f aca="false">B7/B9</f>
        <v>180.625</v>
      </c>
      <c r="C10" s="3" t="s">
        <v>78</v>
      </c>
    </row>
    <row r="11" customFormat="false" ht="15" hidden="false" customHeight="false" outlineLevel="0" collapsed="false">
      <c r="A11" s="4" t="s">
        <v>79</v>
      </c>
      <c r="B11" s="5"/>
      <c r="C11" s="5"/>
    </row>
    <row r="12" customFormat="false" ht="15" hidden="false" customHeight="false" outlineLevel="0" collapsed="false">
      <c r="A12" s="6" t="s">
        <v>80</v>
      </c>
      <c r="B12" s="18" t="n">
        <v>150</v>
      </c>
      <c r="C12" s="3" t="s">
        <v>81</v>
      </c>
    </row>
    <row r="13" customFormat="false" ht="15" hidden="false" customHeight="false" outlineLevel="0" collapsed="false">
      <c r="A13" s="6" t="s">
        <v>82</v>
      </c>
      <c r="B13" s="16" t="n">
        <v>18</v>
      </c>
      <c r="C13" s="3" t="s">
        <v>83</v>
      </c>
    </row>
    <row r="14" customFormat="false" ht="15" hidden="false" customHeight="false" outlineLevel="0" collapsed="false">
      <c r="A14" s="6" t="s">
        <v>84</v>
      </c>
      <c r="B14" s="18" t="n">
        <v>160</v>
      </c>
      <c r="C14" s="3" t="s">
        <v>85</v>
      </c>
    </row>
    <row r="15" customFormat="false" ht="15" hidden="false" customHeight="false" outlineLevel="0" collapsed="false">
      <c r="A15" s="6" t="s">
        <v>86</v>
      </c>
      <c r="B15" s="18" t="n">
        <v>350</v>
      </c>
      <c r="C15" s="3" t="s">
        <v>87</v>
      </c>
    </row>
    <row r="16" customFormat="false" ht="15" hidden="false" customHeight="false" outlineLevel="0" collapsed="false">
      <c r="A16" s="6" t="s">
        <v>88</v>
      </c>
      <c r="B16" s="16" t="n">
        <v>24</v>
      </c>
      <c r="C16" s="3"/>
    </row>
    <row r="17" customFormat="false" ht="15" hidden="false" customHeight="false" outlineLevel="0" collapsed="false">
      <c r="A17" s="6" t="s">
        <v>89</v>
      </c>
      <c r="B17" s="16" t="n">
        <v>5</v>
      </c>
      <c r="C17" s="3" t="s">
        <v>90</v>
      </c>
    </row>
    <row r="18" customFormat="false" ht="15" hidden="false" customHeight="false" outlineLevel="0" collapsed="false">
      <c r="A18" s="6" t="s">
        <v>91</v>
      </c>
      <c r="B18" s="16" t="n">
        <v>10</v>
      </c>
      <c r="C18" s="3" t="s">
        <v>92</v>
      </c>
    </row>
    <row r="19" customFormat="false" ht="15" hidden="false" customHeight="false" outlineLevel="0" collapsed="false">
      <c r="A19" s="6" t="s">
        <v>93</v>
      </c>
      <c r="B19" s="19" t="n">
        <v>0.3</v>
      </c>
      <c r="C19" s="3" t="s">
        <v>94</v>
      </c>
    </row>
    <row r="20" customFormat="false" ht="15" hidden="false" customHeight="false" outlineLevel="0" collapsed="false">
      <c r="A20" s="6" t="s">
        <v>95</v>
      </c>
      <c r="B20" s="16" t="n">
        <v>36</v>
      </c>
      <c r="C20" s="3"/>
    </row>
    <row r="21" customFormat="false" ht="15" hidden="false" customHeight="false" outlineLevel="0" collapsed="false">
      <c r="A21" s="6" t="s">
        <v>96</v>
      </c>
      <c r="B21" s="19" t="n">
        <v>0.12</v>
      </c>
      <c r="C21" s="3"/>
    </row>
    <row r="22" customFormat="false" ht="15" hidden="false" customHeight="false" outlineLevel="0" collapsed="false">
      <c r="A22" s="4" t="s">
        <v>97</v>
      </c>
      <c r="B22" s="5"/>
      <c r="C22" s="5"/>
    </row>
    <row r="23" customFormat="false" ht="15" hidden="false" customHeight="false" outlineLevel="0" collapsed="false">
      <c r="A23" s="6" t="s">
        <v>98</v>
      </c>
      <c r="B23" s="18" t="n">
        <v>450000</v>
      </c>
      <c r="C23" s="3" t="s">
        <v>99</v>
      </c>
    </row>
    <row r="24" customFormat="false" ht="15" hidden="false" customHeight="false" outlineLevel="0" collapsed="false">
      <c r="A24" s="6" t="s">
        <v>100</v>
      </c>
      <c r="B24" s="16" t="n">
        <v>6</v>
      </c>
      <c r="C24" s="3"/>
    </row>
    <row r="25" customFormat="false" ht="15" hidden="false" customHeight="false" outlineLevel="0" collapsed="false">
      <c r="A25" s="6" t="s">
        <v>101</v>
      </c>
      <c r="B25" s="16" t="n">
        <v>245852</v>
      </c>
      <c r="C25" s="3" t="s">
        <v>102</v>
      </c>
    </row>
    <row r="26" customFormat="false" ht="15" hidden="false" customHeight="false" outlineLevel="0" collapsed="false">
      <c r="A26" s="6" t="s">
        <v>103</v>
      </c>
      <c r="B26" s="18" t="n">
        <v>6</v>
      </c>
      <c r="C26" s="3" t="s">
        <v>104</v>
      </c>
    </row>
    <row r="27" customFormat="false" ht="15" hidden="false" customHeight="false" outlineLevel="0" collapsed="false">
      <c r="A27" s="6" t="s">
        <v>105</v>
      </c>
      <c r="B27" s="16" t="n">
        <v>5</v>
      </c>
      <c r="C27" s="3"/>
    </row>
    <row r="28" customFormat="false" ht="15" hidden="false" customHeight="false" outlineLevel="0" collapsed="false">
      <c r="A28" s="6" t="s">
        <v>106</v>
      </c>
      <c r="B28" s="16" t="n">
        <v>14</v>
      </c>
      <c r="C28" s="3"/>
    </row>
    <row r="29" customFormat="false" ht="15" hidden="false" customHeight="false" outlineLevel="0" collapsed="false">
      <c r="A29" s="6" t="s">
        <v>107</v>
      </c>
      <c r="B29" s="18" t="n">
        <v>400000</v>
      </c>
      <c r="C29" s="3" t="s">
        <v>108</v>
      </c>
    </row>
    <row r="30" customFormat="false" ht="15" hidden="false" customHeight="false" outlineLevel="0" collapsed="false">
      <c r="A30" s="6" t="s">
        <v>109</v>
      </c>
      <c r="B30" s="16" t="n">
        <v>9</v>
      </c>
      <c r="C30" s="3"/>
    </row>
    <row r="31" customFormat="false" ht="15" hidden="false" customHeight="false" outlineLevel="0" collapsed="false">
      <c r="A31" s="6" t="s">
        <v>110</v>
      </c>
      <c r="B31" s="16" t="n">
        <v>14</v>
      </c>
      <c r="C31" s="3"/>
    </row>
    <row r="32" customFormat="false" ht="15" hidden="false" customHeight="false" outlineLevel="0" collapsed="false">
      <c r="A32" s="6" t="s">
        <v>111</v>
      </c>
      <c r="B32" s="18" t="n">
        <v>45</v>
      </c>
      <c r="C32" s="3" t="s">
        <v>112</v>
      </c>
    </row>
    <row r="33" customFormat="false" ht="15" hidden="false" customHeight="false" outlineLevel="0" collapsed="false">
      <c r="A33" s="6" t="s">
        <v>113</v>
      </c>
      <c r="B33" s="16" t="n">
        <v>10</v>
      </c>
      <c r="C33" s="3"/>
    </row>
    <row r="34" customFormat="false" ht="15" hidden="false" customHeight="false" outlineLevel="0" collapsed="false">
      <c r="A34" s="6" t="s">
        <v>114</v>
      </c>
      <c r="B34" s="16" t="n">
        <v>22</v>
      </c>
      <c r="C34" s="3"/>
    </row>
    <row r="35" customFormat="false" ht="15" hidden="false" customHeight="false" outlineLevel="0" collapsed="false">
      <c r="A35" s="6" t="s">
        <v>115</v>
      </c>
      <c r="B35" s="19" t="n">
        <v>0.1</v>
      </c>
      <c r="C35" s="3"/>
    </row>
    <row r="36" customFormat="false" ht="15" hidden="false" customHeight="false" outlineLevel="0" collapsed="false">
      <c r="A36" s="6" t="s">
        <v>116</v>
      </c>
      <c r="B36" s="18" t="n">
        <v>500000</v>
      </c>
      <c r="C36" s="3" t="s">
        <v>117</v>
      </c>
    </row>
    <row r="37" customFormat="false" ht="15" hidden="false" customHeight="false" outlineLevel="0" collapsed="false">
      <c r="A37" s="6" t="s">
        <v>118</v>
      </c>
      <c r="B37" s="19" t="n">
        <v>0.06</v>
      </c>
      <c r="C37" s="3" t="s">
        <v>119</v>
      </c>
    </row>
    <row r="38" customFormat="false" ht="15" hidden="false" customHeight="false" outlineLevel="0" collapsed="false">
      <c r="A38" s="6" t="s">
        <v>120</v>
      </c>
      <c r="B38" s="19" t="n">
        <v>0.05</v>
      </c>
      <c r="C38" s="3" t="s">
        <v>119</v>
      </c>
    </row>
    <row r="39" customFormat="false" ht="15" hidden="false" customHeight="false" outlineLevel="0" collapsed="false">
      <c r="A39" s="4" t="s">
        <v>121</v>
      </c>
      <c r="B39" s="5"/>
      <c r="C39" s="5"/>
    </row>
    <row r="40" customFormat="false" ht="15" hidden="false" customHeight="false" outlineLevel="0" collapsed="false">
      <c r="A40" s="6" t="s">
        <v>122</v>
      </c>
      <c r="B40" s="18" t="n">
        <v>2000000</v>
      </c>
      <c r="C40" s="3" t="s">
        <v>123</v>
      </c>
    </row>
    <row r="41" customFormat="false" ht="15" hidden="false" customHeight="false" outlineLevel="0" collapsed="false">
      <c r="A41" s="6" t="s">
        <v>124</v>
      </c>
      <c r="B41" s="16" t="n">
        <v>6</v>
      </c>
      <c r="C41" s="3"/>
    </row>
    <row r="42" customFormat="false" ht="15" hidden="false" customHeight="false" outlineLevel="0" collapsed="false">
      <c r="A42" s="6" t="s">
        <v>125</v>
      </c>
      <c r="B42" s="19" t="n">
        <v>0.16</v>
      </c>
      <c r="C42" s="3" t="s">
        <v>126</v>
      </c>
    </row>
    <row r="43" customFormat="false" ht="15" hidden="false" customHeight="false" outlineLevel="0" collapsed="false">
      <c r="A43" s="6" t="s">
        <v>127</v>
      </c>
      <c r="B43" s="19" t="n">
        <v>0.02</v>
      </c>
      <c r="C43" s="3"/>
    </row>
    <row r="44" customFormat="false" ht="15" hidden="false" customHeight="false" outlineLevel="0" collapsed="false">
      <c r="A44" s="6" t="s">
        <v>128</v>
      </c>
      <c r="B44" s="17" t="n">
        <f aca="false">B13</f>
        <v>18</v>
      </c>
      <c r="C44" s="3" t="s">
        <v>129</v>
      </c>
    </row>
    <row r="45" customFormat="false" ht="15" hidden="false" customHeight="false" outlineLevel="0" collapsed="false">
      <c r="A45" s="4" t="s">
        <v>130</v>
      </c>
      <c r="B45" s="5"/>
      <c r="C45" s="5"/>
    </row>
    <row r="46" customFormat="false" ht="15" hidden="false" customHeight="false" outlineLevel="0" collapsed="false">
      <c r="A46" s="6" t="s">
        <v>131</v>
      </c>
      <c r="B46" s="18" t="n">
        <v>2000000</v>
      </c>
      <c r="C46" s="3" t="s">
        <v>132</v>
      </c>
    </row>
    <row r="47" customFormat="false" ht="15" hidden="false" customHeight="false" outlineLevel="0" collapsed="false">
      <c r="A47" s="6" t="s">
        <v>133</v>
      </c>
      <c r="B47" s="16" t="n">
        <v>24</v>
      </c>
      <c r="C47" s="3" t="s">
        <v>134</v>
      </c>
    </row>
    <row r="48" customFormat="false" ht="15" hidden="false" customHeight="false" outlineLevel="0" collapsed="false">
      <c r="A48" s="6" t="s">
        <v>135</v>
      </c>
      <c r="B48" s="19" t="n">
        <v>0.35</v>
      </c>
      <c r="C48" s="3" t="s">
        <v>136</v>
      </c>
    </row>
    <row r="49" customFormat="false" ht="15" hidden="false" customHeight="false" outlineLevel="0" collapsed="false">
      <c r="A49" s="6" t="s">
        <v>137</v>
      </c>
      <c r="B49" s="19" t="n">
        <v>0.65</v>
      </c>
      <c r="C49" s="3"/>
    </row>
    <row r="50" customFormat="false" ht="15" hidden="false" customHeight="false" outlineLevel="0" collapsed="false">
      <c r="A50" s="6" t="s">
        <v>138</v>
      </c>
      <c r="B50" s="19" t="n">
        <v>0.1</v>
      </c>
      <c r="C50" s="3" t="s">
        <v>139</v>
      </c>
    </row>
    <row r="51" customFormat="false" ht="15" hidden="false" customHeight="false" outlineLevel="0" collapsed="false">
      <c r="A51" s="6" t="s">
        <v>140</v>
      </c>
      <c r="B51" s="19" t="n">
        <v>0.2</v>
      </c>
      <c r="C51" s="3"/>
    </row>
    <row r="52" customFormat="false" ht="15" hidden="false" customHeight="false" outlineLevel="0" collapsed="false">
      <c r="A52" s="4" t="s">
        <v>141</v>
      </c>
      <c r="B52" s="5"/>
      <c r="C52" s="5"/>
    </row>
    <row r="53" customFormat="false" ht="15" hidden="false" customHeight="false" outlineLevel="0" collapsed="false">
      <c r="A53" s="6" t="s">
        <v>142</v>
      </c>
      <c r="B53" s="18" t="n">
        <v>7000000</v>
      </c>
      <c r="C53" s="3" t="s">
        <v>143</v>
      </c>
    </row>
    <row r="54" customFormat="false" ht="15" hidden="false" customHeight="false" outlineLevel="0" collapsed="false">
      <c r="A54" s="6" t="s">
        <v>144</v>
      </c>
      <c r="B54" s="18" t="n">
        <v>500000</v>
      </c>
      <c r="C54" s="3" t="s">
        <v>145</v>
      </c>
    </row>
    <row r="55" customFormat="false" ht="15" hidden="false" customHeight="false" outlineLevel="0" collapsed="false">
      <c r="A55" s="6" t="s">
        <v>146</v>
      </c>
      <c r="B55" s="19" t="n">
        <v>0.3</v>
      </c>
      <c r="C55" s="3" t="s">
        <v>147</v>
      </c>
    </row>
    <row r="56" customFormat="false" ht="15" hidden="false" customHeight="false" outlineLevel="0" collapsed="false">
      <c r="A56" s="6" t="s">
        <v>148</v>
      </c>
      <c r="B56" s="16" t="n">
        <v>21</v>
      </c>
      <c r="C56" s="3" t="s">
        <v>149</v>
      </c>
    </row>
    <row r="57" customFormat="false" ht="15" hidden="false" customHeight="false" outlineLevel="0" collapsed="false">
      <c r="A57" s="6" t="s">
        <v>150</v>
      </c>
      <c r="B57" s="16" t="n">
        <v>60</v>
      </c>
      <c r="C57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H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86" min="3" style="0" width="11"/>
  </cols>
  <sheetData>
    <row r="1" customFormat="false" ht="16.15" hidden="false" customHeight="false" outlineLevel="0" collapsed="false">
      <c r="A1" s="1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</row>
    <row r="3" customFormat="false" ht="15" hidden="false" customHeight="false" outlineLevel="0" collapsed="false">
      <c r="A3" s="8" t="s">
        <v>152</v>
      </c>
      <c r="B3" s="2"/>
      <c r="C3" s="20" t="n">
        <v>1</v>
      </c>
      <c r="D3" s="20" t="n">
        <v>2</v>
      </c>
      <c r="E3" s="20" t="n">
        <v>3</v>
      </c>
      <c r="F3" s="20" t="n">
        <v>4</v>
      </c>
      <c r="G3" s="20" t="n">
        <v>5</v>
      </c>
      <c r="H3" s="20" t="n">
        <v>6</v>
      </c>
      <c r="I3" s="20" t="n">
        <v>7</v>
      </c>
      <c r="J3" s="20" t="n">
        <v>8</v>
      </c>
      <c r="K3" s="20" t="n">
        <v>9</v>
      </c>
      <c r="L3" s="20" t="n">
        <v>10</v>
      </c>
      <c r="M3" s="20" t="n">
        <v>11</v>
      </c>
      <c r="N3" s="20" t="n">
        <v>12</v>
      </c>
      <c r="O3" s="20" t="n">
        <v>13</v>
      </c>
      <c r="P3" s="20" t="n">
        <v>14</v>
      </c>
      <c r="Q3" s="20" t="n">
        <v>15</v>
      </c>
      <c r="R3" s="20" t="n">
        <v>16</v>
      </c>
      <c r="S3" s="20" t="n">
        <v>17</v>
      </c>
      <c r="T3" s="20" t="n">
        <v>18</v>
      </c>
      <c r="U3" s="20" t="n">
        <v>19</v>
      </c>
      <c r="V3" s="20" t="n">
        <v>20</v>
      </c>
      <c r="W3" s="20" t="n">
        <v>21</v>
      </c>
      <c r="X3" s="20" t="n">
        <v>22</v>
      </c>
      <c r="Y3" s="20" t="n">
        <v>23</v>
      </c>
      <c r="Z3" s="20" t="n">
        <v>24</v>
      </c>
      <c r="AA3" s="20" t="n">
        <v>25</v>
      </c>
      <c r="AB3" s="20" t="n">
        <v>26</v>
      </c>
      <c r="AC3" s="20" t="n">
        <v>27</v>
      </c>
      <c r="AD3" s="20" t="n">
        <v>28</v>
      </c>
      <c r="AE3" s="20" t="n">
        <v>29</v>
      </c>
      <c r="AF3" s="20" t="n">
        <v>30</v>
      </c>
      <c r="AG3" s="20" t="n">
        <v>31</v>
      </c>
      <c r="AH3" s="20" t="n">
        <v>32</v>
      </c>
      <c r="AI3" s="20" t="n">
        <v>33</v>
      </c>
      <c r="AJ3" s="20" t="n">
        <v>34</v>
      </c>
      <c r="AK3" s="20" t="n">
        <v>35</v>
      </c>
      <c r="AL3" s="20" t="n">
        <v>36</v>
      </c>
      <c r="AM3" s="20" t="n">
        <v>37</v>
      </c>
      <c r="AN3" s="20" t="n">
        <v>38</v>
      </c>
      <c r="AO3" s="20" t="n">
        <v>39</v>
      </c>
      <c r="AP3" s="20" t="n">
        <v>40</v>
      </c>
      <c r="AQ3" s="20" t="n">
        <v>41</v>
      </c>
      <c r="AR3" s="20" t="n">
        <v>42</v>
      </c>
      <c r="AS3" s="20" t="n">
        <v>43</v>
      </c>
      <c r="AT3" s="20" t="n">
        <v>44</v>
      </c>
      <c r="AU3" s="20" t="n">
        <v>45</v>
      </c>
      <c r="AV3" s="20" t="n">
        <v>46</v>
      </c>
      <c r="AW3" s="20" t="n">
        <v>47</v>
      </c>
      <c r="AX3" s="20" t="n">
        <v>48</v>
      </c>
      <c r="AY3" s="20" t="n">
        <v>49</v>
      </c>
      <c r="AZ3" s="20" t="n">
        <v>50</v>
      </c>
      <c r="BA3" s="20" t="n">
        <v>51</v>
      </c>
      <c r="BB3" s="20" t="n">
        <v>52</v>
      </c>
      <c r="BC3" s="20" t="n">
        <v>53</v>
      </c>
      <c r="BD3" s="20" t="n">
        <v>54</v>
      </c>
      <c r="BE3" s="20" t="n">
        <v>55</v>
      </c>
      <c r="BF3" s="20" t="n">
        <v>56</v>
      </c>
      <c r="BG3" s="20" t="n">
        <v>57</v>
      </c>
      <c r="BH3" s="20" t="n">
        <v>58</v>
      </c>
      <c r="BI3" s="20" t="n">
        <v>59</v>
      </c>
      <c r="BJ3" s="20" t="n">
        <v>60</v>
      </c>
      <c r="BK3" s="20" t="n">
        <v>61</v>
      </c>
      <c r="BL3" s="20" t="n">
        <v>62</v>
      </c>
      <c r="BM3" s="20" t="n">
        <v>63</v>
      </c>
      <c r="BN3" s="20" t="n">
        <v>64</v>
      </c>
      <c r="BO3" s="20" t="n">
        <v>65</v>
      </c>
      <c r="BP3" s="20" t="n">
        <v>66</v>
      </c>
      <c r="BQ3" s="20" t="n">
        <v>67</v>
      </c>
      <c r="BR3" s="20" t="n">
        <v>68</v>
      </c>
      <c r="BS3" s="20" t="n">
        <v>69</v>
      </c>
      <c r="BT3" s="20" t="n">
        <v>70</v>
      </c>
      <c r="BU3" s="20" t="n">
        <v>71</v>
      </c>
      <c r="BV3" s="20" t="n">
        <v>72</v>
      </c>
      <c r="BW3" s="20" t="n">
        <v>73</v>
      </c>
      <c r="BX3" s="20" t="n">
        <v>74</v>
      </c>
      <c r="BY3" s="20" t="n">
        <v>75</v>
      </c>
      <c r="BZ3" s="20" t="n">
        <v>76</v>
      </c>
      <c r="CA3" s="20" t="n">
        <v>77</v>
      </c>
      <c r="CB3" s="20" t="n">
        <v>78</v>
      </c>
      <c r="CC3" s="20" t="n">
        <v>79</v>
      </c>
      <c r="CD3" s="20" t="n">
        <v>80</v>
      </c>
      <c r="CE3" s="20" t="n">
        <v>81</v>
      </c>
      <c r="CF3" s="20" t="n">
        <v>82</v>
      </c>
      <c r="CG3" s="20" t="n">
        <v>83</v>
      </c>
      <c r="CH3" s="20" t="n">
        <v>84</v>
      </c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</row>
    <row r="5" customFormat="false" ht="15" hidden="false" customHeight="false" outlineLevel="0" collapsed="false">
      <c r="A5" s="6" t="s">
        <v>153</v>
      </c>
      <c r="B5" s="21" t="n">
        <f aca="false">SUM(C5:CH5)</f>
        <v>180.625</v>
      </c>
      <c r="C5" s="17" t="n">
        <f aca="false">IF(C$3&lt;Supuestos!$B$18,0,MAX(0,MIN(Supuestos!$B$17,Supuestos!$B$10-0)))</f>
        <v>0</v>
      </c>
      <c r="D5" s="17" t="n">
        <f aca="false">IF(D$3&lt;Supuestos!$B$18,0,MAX(0,MIN(Supuestos!$B$17,Supuestos!$B$10-SUM($C$5:C$5))))</f>
        <v>0</v>
      </c>
      <c r="E5" s="17" t="n">
        <f aca="false">IF(E$3&lt;Supuestos!$B$18,0,MAX(0,MIN(Supuestos!$B$17,Supuestos!$B$10-SUM($C$5:D$5))))</f>
        <v>0</v>
      </c>
      <c r="F5" s="17" t="n">
        <f aca="false">IF(F$3&lt;Supuestos!$B$18,0,MAX(0,MIN(Supuestos!$B$17,Supuestos!$B$10-SUM($C$5:E$5))))</f>
        <v>0</v>
      </c>
      <c r="G5" s="17" t="n">
        <f aca="false">IF(G$3&lt;Supuestos!$B$18,0,MAX(0,MIN(Supuestos!$B$17,Supuestos!$B$10-SUM($C$5:F$5))))</f>
        <v>0</v>
      </c>
      <c r="H5" s="17" t="n">
        <f aca="false">IF(H$3&lt;Supuestos!$B$18,0,MAX(0,MIN(Supuestos!$B$17,Supuestos!$B$10-SUM($C$5:G$5))))</f>
        <v>0</v>
      </c>
      <c r="I5" s="17" t="n">
        <f aca="false">IF(I$3&lt;Supuestos!$B$18,0,MAX(0,MIN(Supuestos!$B$17,Supuestos!$B$10-SUM($C$5:H$5))))</f>
        <v>0</v>
      </c>
      <c r="J5" s="17" t="n">
        <f aca="false">IF(J$3&lt;Supuestos!$B$18,0,MAX(0,MIN(Supuestos!$B$17,Supuestos!$B$10-SUM($C$5:I$5))))</f>
        <v>0</v>
      </c>
      <c r="K5" s="17" t="n">
        <f aca="false">IF(K$3&lt;Supuestos!$B$18,0,MAX(0,MIN(Supuestos!$B$17,Supuestos!$B$10-SUM($C$5:J$5))))</f>
        <v>0</v>
      </c>
      <c r="L5" s="17" t="n">
        <f aca="false">IF(L$3&lt;Supuestos!$B$18,0,MAX(0,MIN(Supuestos!$B$17,Supuestos!$B$10-SUM($C$5:K$5))))</f>
        <v>5</v>
      </c>
      <c r="M5" s="17" t="n">
        <f aca="false">IF(M$3&lt;Supuestos!$B$18,0,MAX(0,MIN(Supuestos!$B$17,Supuestos!$B$10-SUM($C$5:L$5))))</f>
        <v>5</v>
      </c>
      <c r="N5" s="17" t="n">
        <f aca="false">IF(N$3&lt;Supuestos!$B$18,0,MAX(0,MIN(Supuestos!$B$17,Supuestos!$B$10-SUM($C$5:M$5))))</f>
        <v>5</v>
      </c>
      <c r="O5" s="17" t="n">
        <f aca="false">IF(O$3&lt;Supuestos!$B$18,0,MAX(0,MIN(Supuestos!$B$17,Supuestos!$B$10-SUM($C$5:N$5))))</f>
        <v>5</v>
      </c>
      <c r="P5" s="17" t="n">
        <f aca="false">IF(P$3&lt;Supuestos!$B$18,0,MAX(0,MIN(Supuestos!$B$17,Supuestos!$B$10-SUM($C$5:O$5))))</f>
        <v>5</v>
      </c>
      <c r="Q5" s="17" t="n">
        <f aca="false">IF(Q$3&lt;Supuestos!$B$18,0,MAX(0,MIN(Supuestos!$B$17,Supuestos!$B$10-SUM($C$5:P$5))))</f>
        <v>5</v>
      </c>
      <c r="R5" s="17" t="n">
        <f aca="false">IF(R$3&lt;Supuestos!$B$18,0,MAX(0,MIN(Supuestos!$B$17,Supuestos!$B$10-SUM($C$5:Q$5))))</f>
        <v>5</v>
      </c>
      <c r="S5" s="17" t="n">
        <f aca="false">IF(S$3&lt;Supuestos!$B$18,0,MAX(0,MIN(Supuestos!$B$17,Supuestos!$B$10-SUM($C$5:R$5))))</f>
        <v>5</v>
      </c>
      <c r="T5" s="17" t="n">
        <f aca="false">IF(T$3&lt;Supuestos!$B$18,0,MAX(0,MIN(Supuestos!$B$17,Supuestos!$B$10-SUM($C$5:S$5))))</f>
        <v>5</v>
      </c>
      <c r="U5" s="17" t="n">
        <f aca="false">IF(U$3&lt;Supuestos!$B$18,0,MAX(0,MIN(Supuestos!$B$17,Supuestos!$B$10-SUM($C$5:T$5))))</f>
        <v>5</v>
      </c>
      <c r="V5" s="17" t="n">
        <f aca="false">IF(V$3&lt;Supuestos!$B$18,0,MAX(0,MIN(Supuestos!$B$17,Supuestos!$B$10-SUM($C$5:U$5))))</f>
        <v>5</v>
      </c>
      <c r="W5" s="17" t="n">
        <f aca="false">IF(W$3&lt;Supuestos!$B$18,0,MAX(0,MIN(Supuestos!$B$17,Supuestos!$B$10-SUM($C$5:V$5))))</f>
        <v>5</v>
      </c>
      <c r="X5" s="17" t="n">
        <f aca="false">IF(X$3&lt;Supuestos!$B$18,0,MAX(0,MIN(Supuestos!$B$17,Supuestos!$B$10-SUM($C$5:W$5))))</f>
        <v>5</v>
      </c>
      <c r="Y5" s="17" t="n">
        <f aca="false">IF(Y$3&lt;Supuestos!$B$18,0,MAX(0,MIN(Supuestos!$B$17,Supuestos!$B$10-SUM($C$5:X$5))))</f>
        <v>5</v>
      </c>
      <c r="Z5" s="17" t="n">
        <f aca="false">IF(Z$3&lt;Supuestos!$B$18,0,MAX(0,MIN(Supuestos!$B$17,Supuestos!$B$10-SUM($C$5:Y$5))))</f>
        <v>5</v>
      </c>
      <c r="AA5" s="17" t="n">
        <f aca="false">IF(AA$3&lt;Supuestos!$B$18,0,MAX(0,MIN(Supuestos!$B$17,Supuestos!$B$10-SUM($C$5:Z$5))))</f>
        <v>5</v>
      </c>
      <c r="AB5" s="17" t="n">
        <f aca="false">IF(AB$3&lt;Supuestos!$B$18,0,MAX(0,MIN(Supuestos!$B$17,Supuestos!$B$10-SUM($C$5:AA$5))))</f>
        <v>5</v>
      </c>
      <c r="AC5" s="17" t="n">
        <f aca="false">IF(AC$3&lt;Supuestos!$B$18,0,MAX(0,MIN(Supuestos!$B$17,Supuestos!$B$10-SUM($C$5:AB$5))))</f>
        <v>5</v>
      </c>
      <c r="AD5" s="17" t="n">
        <f aca="false">IF(AD$3&lt;Supuestos!$B$18,0,MAX(0,MIN(Supuestos!$B$17,Supuestos!$B$10-SUM($C$5:AC$5))))</f>
        <v>5</v>
      </c>
      <c r="AE5" s="17" t="n">
        <f aca="false">IF(AE$3&lt;Supuestos!$B$18,0,MAX(0,MIN(Supuestos!$B$17,Supuestos!$B$10-SUM($C$5:AD$5))))</f>
        <v>5</v>
      </c>
      <c r="AF5" s="17" t="n">
        <f aca="false">IF(AF$3&lt;Supuestos!$B$18,0,MAX(0,MIN(Supuestos!$B$17,Supuestos!$B$10-SUM($C$5:AE$5))))</f>
        <v>5</v>
      </c>
      <c r="AG5" s="17" t="n">
        <f aca="false">IF(AG$3&lt;Supuestos!$B$18,0,MAX(0,MIN(Supuestos!$B$17,Supuestos!$B$10-SUM($C$5:AF$5))))</f>
        <v>5</v>
      </c>
      <c r="AH5" s="17" t="n">
        <f aca="false">IF(AH$3&lt;Supuestos!$B$18,0,MAX(0,MIN(Supuestos!$B$17,Supuestos!$B$10-SUM($C$5:AG$5))))</f>
        <v>5</v>
      </c>
      <c r="AI5" s="17" t="n">
        <f aca="false">IF(AI$3&lt;Supuestos!$B$18,0,MAX(0,MIN(Supuestos!$B$17,Supuestos!$B$10-SUM($C$5:AH$5))))</f>
        <v>5</v>
      </c>
      <c r="AJ5" s="17" t="n">
        <f aca="false">IF(AJ$3&lt;Supuestos!$B$18,0,MAX(0,MIN(Supuestos!$B$17,Supuestos!$B$10-SUM($C$5:AI$5))))</f>
        <v>5</v>
      </c>
      <c r="AK5" s="17" t="n">
        <f aca="false">IF(AK$3&lt;Supuestos!$B$18,0,MAX(0,MIN(Supuestos!$B$17,Supuestos!$B$10-SUM($C$5:AJ$5))))</f>
        <v>5</v>
      </c>
      <c r="AL5" s="17" t="n">
        <f aca="false">IF(AL$3&lt;Supuestos!$B$18,0,MAX(0,MIN(Supuestos!$B$17,Supuestos!$B$10-SUM($C$5:AK$5))))</f>
        <v>5</v>
      </c>
      <c r="AM5" s="17" t="n">
        <f aca="false">IF(AM$3&lt;Supuestos!$B$18,0,MAX(0,MIN(Supuestos!$B$17,Supuestos!$B$10-SUM($C$5:AL$5))))</f>
        <v>5</v>
      </c>
      <c r="AN5" s="17" t="n">
        <f aca="false">IF(AN$3&lt;Supuestos!$B$18,0,MAX(0,MIN(Supuestos!$B$17,Supuestos!$B$10-SUM($C$5:AM$5))))</f>
        <v>5</v>
      </c>
      <c r="AO5" s="17" t="n">
        <f aca="false">IF(AO$3&lt;Supuestos!$B$18,0,MAX(0,MIN(Supuestos!$B$17,Supuestos!$B$10-SUM($C$5:AN$5))))</f>
        <v>5</v>
      </c>
      <c r="AP5" s="17" t="n">
        <f aca="false">IF(AP$3&lt;Supuestos!$B$18,0,MAX(0,MIN(Supuestos!$B$17,Supuestos!$B$10-SUM($C$5:AO$5))))</f>
        <v>5</v>
      </c>
      <c r="AQ5" s="17" t="n">
        <f aca="false">IF(AQ$3&lt;Supuestos!$B$18,0,MAX(0,MIN(Supuestos!$B$17,Supuestos!$B$10-SUM($C$5:AP$5))))</f>
        <v>5</v>
      </c>
      <c r="AR5" s="17" t="n">
        <f aca="false">IF(AR$3&lt;Supuestos!$B$18,0,MAX(0,MIN(Supuestos!$B$17,Supuestos!$B$10-SUM($C$5:AQ$5))))</f>
        <v>5</v>
      </c>
      <c r="AS5" s="17" t="n">
        <f aca="false">IF(AS$3&lt;Supuestos!$B$18,0,MAX(0,MIN(Supuestos!$B$17,Supuestos!$B$10-SUM($C$5:AR$5))))</f>
        <v>5</v>
      </c>
      <c r="AT5" s="17" t="n">
        <f aca="false">IF(AT$3&lt;Supuestos!$B$18,0,MAX(0,MIN(Supuestos!$B$17,Supuestos!$B$10-SUM($C$5:AS$5))))</f>
        <v>5</v>
      </c>
      <c r="AU5" s="17" t="n">
        <f aca="false">IF(AU$3&lt;Supuestos!$B$18,0,MAX(0,MIN(Supuestos!$B$17,Supuestos!$B$10-SUM($C$5:AT$5))))</f>
        <v>5</v>
      </c>
      <c r="AV5" s="17" t="n">
        <f aca="false">IF(AV$3&lt;Supuestos!$B$18,0,MAX(0,MIN(Supuestos!$B$17,Supuestos!$B$10-SUM($C$5:AU$5))))</f>
        <v>0.625</v>
      </c>
      <c r="AW5" s="17" t="n">
        <f aca="false">IF(AW$3&lt;Supuestos!$B$18,0,MAX(0,MIN(Supuestos!$B$17,Supuestos!$B$10-SUM($C$5:AV$5))))</f>
        <v>0</v>
      </c>
      <c r="AX5" s="17" t="n">
        <f aca="false">IF(AX$3&lt;Supuestos!$B$18,0,MAX(0,MIN(Supuestos!$B$17,Supuestos!$B$10-SUM($C$5:AW$5))))</f>
        <v>0</v>
      </c>
      <c r="AY5" s="17" t="n">
        <f aca="false">IF(AY$3&lt;Supuestos!$B$18,0,MAX(0,MIN(Supuestos!$B$17,Supuestos!$B$10-SUM($C$5:AX$5))))</f>
        <v>0</v>
      </c>
      <c r="AZ5" s="17" t="n">
        <f aca="false">IF(AZ$3&lt;Supuestos!$B$18,0,MAX(0,MIN(Supuestos!$B$17,Supuestos!$B$10-SUM($C$5:AY$5))))</f>
        <v>0</v>
      </c>
      <c r="BA5" s="17" t="n">
        <f aca="false">IF(BA$3&lt;Supuestos!$B$18,0,MAX(0,MIN(Supuestos!$B$17,Supuestos!$B$10-SUM($C$5:AZ$5))))</f>
        <v>0</v>
      </c>
      <c r="BB5" s="17" t="n">
        <f aca="false">IF(BB$3&lt;Supuestos!$B$18,0,MAX(0,MIN(Supuestos!$B$17,Supuestos!$B$10-SUM($C$5:BA$5))))</f>
        <v>0</v>
      </c>
      <c r="BC5" s="17" t="n">
        <f aca="false">IF(BC$3&lt;Supuestos!$B$18,0,MAX(0,MIN(Supuestos!$B$17,Supuestos!$B$10-SUM($C$5:BB$5))))</f>
        <v>0</v>
      </c>
      <c r="BD5" s="17" t="n">
        <f aca="false">IF(BD$3&lt;Supuestos!$B$18,0,MAX(0,MIN(Supuestos!$B$17,Supuestos!$B$10-SUM($C$5:BC$5))))</f>
        <v>0</v>
      </c>
      <c r="BE5" s="17" t="n">
        <f aca="false">IF(BE$3&lt;Supuestos!$B$18,0,MAX(0,MIN(Supuestos!$B$17,Supuestos!$B$10-SUM($C$5:BD$5))))</f>
        <v>0</v>
      </c>
      <c r="BF5" s="17" t="n">
        <f aca="false">IF(BF$3&lt;Supuestos!$B$18,0,MAX(0,MIN(Supuestos!$B$17,Supuestos!$B$10-SUM($C$5:BE$5))))</f>
        <v>0</v>
      </c>
      <c r="BG5" s="17" t="n">
        <f aca="false">IF(BG$3&lt;Supuestos!$B$18,0,MAX(0,MIN(Supuestos!$B$17,Supuestos!$B$10-SUM($C$5:BF$5))))</f>
        <v>0</v>
      </c>
      <c r="BH5" s="17" t="n">
        <f aca="false">IF(BH$3&lt;Supuestos!$B$18,0,MAX(0,MIN(Supuestos!$B$17,Supuestos!$B$10-SUM($C$5:BG$5))))</f>
        <v>0</v>
      </c>
      <c r="BI5" s="17" t="n">
        <f aca="false">IF(BI$3&lt;Supuestos!$B$18,0,MAX(0,MIN(Supuestos!$B$17,Supuestos!$B$10-SUM($C$5:BH$5))))</f>
        <v>0</v>
      </c>
      <c r="BJ5" s="17" t="n">
        <f aca="false">IF(BJ$3&lt;Supuestos!$B$18,0,MAX(0,MIN(Supuestos!$B$17,Supuestos!$B$10-SUM($C$5:BI$5))))</f>
        <v>0</v>
      </c>
      <c r="BK5" s="17" t="n">
        <f aca="false">IF(BK$3&lt;Supuestos!$B$18,0,MAX(0,MIN(Supuestos!$B$17,Supuestos!$B$10-SUM($C$5:BJ$5))))</f>
        <v>0</v>
      </c>
      <c r="BL5" s="17" t="n">
        <f aca="false">IF(BL$3&lt;Supuestos!$B$18,0,MAX(0,MIN(Supuestos!$B$17,Supuestos!$B$10-SUM($C$5:BK$5))))</f>
        <v>0</v>
      </c>
      <c r="BM5" s="17" t="n">
        <f aca="false">IF(BM$3&lt;Supuestos!$B$18,0,MAX(0,MIN(Supuestos!$B$17,Supuestos!$B$10-SUM($C$5:BL$5))))</f>
        <v>0</v>
      </c>
      <c r="BN5" s="17" t="n">
        <f aca="false">IF(BN$3&lt;Supuestos!$B$18,0,MAX(0,MIN(Supuestos!$B$17,Supuestos!$B$10-SUM($C$5:BM$5))))</f>
        <v>0</v>
      </c>
      <c r="BO5" s="17" t="n">
        <f aca="false">IF(BO$3&lt;Supuestos!$B$18,0,MAX(0,MIN(Supuestos!$B$17,Supuestos!$B$10-SUM($C$5:BN$5))))</f>
        <v>0</v>
      </c>
      <c r="BP5" s="17" t="n">
        <f aca="false">IF(BP$3&lt;Supuestos!$B$18,0,MAX(0,MIN(Supuestos!$B$17,Supuestos!$B$10-SUM($C$5:BO$5))))</f>
        <v>0</v>
      </c>
      <c r="BQ5" s="17" t="n">
        <f aca="false">IF(BQ$3&lt;Supuestos!$B$18,0,MAX(0,MIN(Supuestos!$B$17,Supuestos!$B$10-SUM($C$5:BP$5))))</f>
        <v>0</v>
      </c>
      <c r="BR5" s="17" t="n">
        <f aca="false">IF(BR$3&lt;Supuestos!$B$18,0,MAX(0,MIN(Supuestos!$B$17,Supuestos!$B$10-SUM($C$5:BQ$5))))</f>
        <v>0</v>
      </c>
      <c r="BS5" s="17" t="n">
        <f aca="false">IF(BS$3&lt;Supuestos!$B$18,0,MAX(0,MIN(Supuestos!$B$17,Supuestos!$B$10-SUM($C$5:BR$5))))</f>
        <v>0</v>
      </c>
      <c r="BT5" s="17" t="n">
        <f aca="false">IF(BT$3&lt;Supuestos!$B$18,0,MAX(0,MIN(Supuestos!$B$17,Supuestos!$B$10-SUM($C$5:BS$5))))</f>
        <v>0</v>
      </c>
      <c r="BU5" s="17" t="n">
        <f aca="false">IF(BU$3&lt;Supuestos!$B$18,0,MAX(0,MIN(Supuestos!$B$17,Supuestos!$B$10-SUM($C$5:BT$5))))</f>
        <v>0</v>
      </c>
      <c r="BV5" s="17" t="n">
        <f aca="false">IF(BV$3&lt;Supuestos!$B$18,0,MAX(0,MIN(Supuestos!$B$17,Supuestos!$B$10-SUM($C$5:BU$5))))</f>
        <v>0</v>
      </c>
      <c r="BW5" s="17" t="n">
        <f aca="false">IF(BW$3&lt;Supuestos!$B$18,0,MAX(0,MIN(Supuestos!$B$17,Supuestos!$B$10-SUM($C$5:BV$5))))</f>
        <v>0</v>
      </c>
      <c r="BX5" s="17" t="n">
        <f aca="false">IF(BX$3&lt;Supuestos!$B$18,0,MAX(0,MIN(Supuestos!$B$17,Supuestos!$B$10-SUM($C$5:BW$5))))</f>
        <v>0</v>
      </c>
      <c r="BY5" s="17" t="n">
        <f aca="false">IF(BY$3&lt;Supuestos!$B$18,0,MAX(0,MIN(Supuestos!$B$17,Supuestos!$B$10-SUM($C$5:BX$5))))</f>
        <v>0</v>
      </c>
      <c r="BZ5" s="17" t="n">
        <f aca="false">IF(BZ$3&lt;Supuestos!$B$18,0,MAX(0,MIN(Supuestos!$B$17,Supuestos!$B$10-SUM($C$5:BY$5))))</f>
        <v>0</v>
      </c>
      <c r="CA5" s="17" t="n">
        <f aca="false">IF(CA$3&lt;Supuestos!$B$18,0,MAX(0,MIN(Supuestos!$B$17,Supuestos!$B$10-SUM($C$5:BZ$5))))</f>
        <v>0</v>
      </c>
      <c r="CB5" s="17" t="n">
        <f aca="false">IF(CB$3&lt;Supuestos!$B$18,0,MAX(0,MIN(Supuestos!$B$17,Supuestos!$B$10-SUM($C$5:CA$5))))</f>
        <v>0</v>
      </c>
      <c r="CC5" s="17" t="n">
        <f aca="false">IF(CC$3&lt;Supuestos!$B$18,0,MAX(0,MIN(Supuestos!$B$17,Supuestos!$B$10-SUM($C$5:CB$5))))</f>
        <v>0</v>
      </c>
      <c r="CD5" s="17" t="n">
        <f aca="false">IF(CD$3&lt;Supuestos!$B$18,0,MAX(0,MIN(Supuestos!$B$17,Supuestos!$B$10-SUM($C$5:CC$5))))</f>
        <v>0</v>
      </c>
      <c r="CE5" s="17" t="n">
        <f aca="false">IF(CE$3&lt;Supuestos!$B$18,0,MAX(0,MIN(Supuestos!$B$17,Supuestos!$B$10-SUM($C$5:CD$5))))</f>
        <v>0</v>
      </c>
      <c r="CF5" s="17" t="n">
        <f aca="false">IF(CF$3&lt;Supuestos!$B$18,0,MAX(0,MIN(Supuestos!$B$17,Supuestos!$B$10-SUM($C$5:CE$5))))</f>
        <v>0</v>
      </c>
      <c r="CG5" s="17" t="n">
        <f aca="false">IF(CG$3&lt;Supuestos!$B$18,0,MAX(0,MIN(Supuestos!$B$17,Supuestos!$B$10-SUM($C$5:CF$5))))</f>
        <v>0</v>
      </c>
      <c r="CH5" s="17" t="n">
        <f aca="false">IF(CH$3&lt;Supuestos!$B$18,0,MAX(0,MIN(Supuestos!$B$17,Supuestos!$B$10-SUM($C$5:CG$5))))</f>
        <v>0</v>
      </c>
    </row>
    <row r="6" customFormat="false" ht="15" hidden="false" customHeight="false" outlineLevel="0" collapsed="false">
      <c r="A6" s="6" t="s">
        <v>154</v>
      </c>
      <c r="B6" s="2"/>
      <c r="C6" s="17" t="n">
        <f aca="false">SUM($C$5:C$5)</f>
        <v>0</v>
      </c>
      <c r="D6" s="17" t="n">
        <f aca="false">SUM($C$5:D$5)</f>
        <v>0</v>
      </c>
      <c r="E6" s="17" t="n">
        <f aca="false">SUM($C$5:E$5)</f>
        <v>0</v>
      </c>
      <c r="F6" s="17" t="n">
        <f aca="false">SUM($C$5:F$5)</f>
        <v>0</v>
      </c>
      <c r="G6" s="17" t="n">
        <f aca="false">SUM($C$5:G$5)</f>
        <v>0</v>
      </c>
      <c r="H6" s="17" t="n">
        <f aca="false">SUM($C$5:H$5)</f>
        <v>0</v>
      </c>
      <c r="I6" s="17" t="n">
        <f aca="false">SUM($C$5:I$5)</f>
        <v>0</v>
      </c>
      <c r="J6" s="17" t="n">
        <f aca="false">SUM($C$5:J$5)</f>
        <v>0</v>
      </c>
      <c r="K6" s="17" t="n">
        <f aca="false">SUM($C$5:K$5)</f>
        <v>0</v>
      </c>
      <c r="L6" s="17" t="n">
        <f aca="false">SUM($C$5:L$5)</f>
        <v>5</v>
      </c>
      <c r="M6" s="17" t="n">
        <f aca="false">SUM($C$5:M$5)</f>
        <v>10</v>
      </c>
      <c r="N6" s="17" t="n">
        <f aca="false">SUM($C$5:N$5)</f>
        <v>15</v>
      </c>
      <c r="O6" s="17" t="n">
        <f aca="false">SUM($C$5:O$5)</f>
        <v>20</v>
      </c>
      <c r="P6" s="17" t="n">
        <f aca="false">SUM($C$5:P$5)</f>
        <v>25</v>
      </c>
      <c r="Q6" s="17" t="n">
        <f aca="false">SUM($C$5:Q$5)</f>
        <v>30</v>
      </c>
      <c r="R6" s="17" t="n">
        <f aca="false">SUM($C$5:R$5)</f>
        <v>35</v>
      </c>
      <c r="S6" s="17" t="n">
        <f aca="false">SUM($C$5:S$5)</f>
        <v>40</v>
      </c>
      <c r="T6" s="17" t="n">
        <f aca="false">SUM($C$5:T$5)</f>
        <v>45</v>
      </c>
      <c r="U6" s="17" t="n">
        <f aca="false">SUM($C$5:U$5)</f>
        <v>50</v>
      </c>
      <c r="V6" s="17" t="n">
        <f aca="false">SUM($C$5:V$5)</f>
        <v>55</v>
      </c>
      <c r="W6" s="17" t="n">
        <f aca="false">SUM($C$5:W$5)</f>
        <v>60</v>
      </c>
      <c r="X6" s="17" t="n">
        <f aca="false">SUM($C$5:X$5)</f>
        <v>65</v>
      </c>
      <c r="Y6" s="17" t="n">
        <f aca="false">SUM($C$5:Y$5)</f>
        <v>70</v>
      </c>
      <c r="Z6" s="17" t="n">
        <f aca="false">SUM($C$5:Z$5)</f>
        <v>75</v>
      </c>
      <c r="AA6" s="17" t="n">
        <f aca="false">SUM($C$5:AA$5)</f>
        <v>80</v>
      </c>
      <c r="AB6" s="17" t="n">
        <f aca="false">SUM($C$5:AB$5)</f>
        <v>85</v>
      </c>
      <c r="AC6" s="17" t="n">
        <f aca="false">SUM($C$5:AC$5)</f>
        <v>90</v>
      </c>
      <c r="AD6" s="17" t="n">
        <f aca="false">SUM($C$5:AD$5)</f>
        <v>95</v>
      </c>
      <c r="AE6" s="17" t="n">
        <f aca="false">SUM($C$5:AE$5)</f>
        <v>100</v>
      </c>
      <c r="AF6" s="17" t="n">
        <f aca="false">SUM($C$5:AF$5)</f>
        <v>105</v>
      </c>
      <c r="AG6" s="17" t="n">
        <f aca="false">SUM($C$5:AG$5)</f>
        <v>110</v>
      </c>
      <c r="AH6" s="17" t="n">
        <f aca="false">SUM($C$5:AH$5)</f>
        <v>115</v>
      </c>
      <c r="AI6" s="17" t="n">
        <f aca="false">SUM($C$5:AI$5)</f>
        <v>120</v>
      </c>
      <c r="AJ6" s="17" t="n">
        <f aca="false">SUM($C$5:AJ$5)</f>
        <v>125</v>
      </c>
      <c r="AK6" s="17" t="n">
        <f aca="false">SUM($C$5:AK$5)</f>
        <v>130</v>
      </c>
      <c r="AL6" s="17" t="n">
        <f aca="false">SUM($C$5:AL$5)</f>
        <v>135</v>
      </c>
      <c r="AM6" s="17" t="n">
        <f aca="false">SUM($C$5:AM$5)</f>
        <v>140</v>
      </c>
      <c r="AN6" s="17" t="n">
        <f aca="false">SUM($C$5:AN$5)</f>
        <v>145</v>
      </c>
      <c r="AO6" s="17" t="n">
        <f aca="false">SUM($C$5:AO$5)</f>
        <v>150</v>
      </c>
      <c r="AP6" s="17" t="n">
        <f aca="false">SUM($C$5:AP$5)</f>
        <v>155</v>
      </c>
      <c r="AQ6" s="17" t="n">
        <f aca="false">SUM($C$5:AQ$5)</f>
        <v>160</v>
      </c>
      <c r="AR6" s="17" t="n">
        <f aca="false">SUM($C$5:AR$5)</f>
        <v>165</v>
      </c>
      <c r="AS6" s="17" t="n">
        <f aca="false">SUM($C$5:AS$5)</f>
        <v>170</v>
      </c>
      <c r="AT6" s="17" t="n">
        <f aca="false">SUM($C$5:AT$5)</f>
        <v>175</v>
      </c>
      <c r="AU6" s="17" t="n">
        <f aca="false">SUM($C$5:AU$5)</f>
        <v>180</v>
      </c>
      <c r="AV6" s="17" t="n">
        <f aca="false">SUM($C$5:AV$5)</f>
        <v>180.625</v>
      </c>
      <c r="AW6" s="17" t="n">
        <f aca="false">SUM($C$5:AW$5)</f>
        <v>180.625</v>
      </c>
      <c r="AX6" s="17" t="n">
        <f aca="false">SUM($C$5:AX$5)</f>
        <v>180.625</v>
      </c>
      <c r="AY6" s="17" t="n">
        <f aca="false">SUM($C$5:AY$5)</f>
        <v>180.625</v>
      </c>
      <c r="AZ6" s="17" t="n">
        <f aca="false">SUM($C$5:AZ$5)</f>
        <v>180.625</v>
      </c>
      <c r="BA6" s="17" t="n">
        <f aca="false">SUM($C$5:BA$5)</f>
        <v>180.625</v>
      </c>
      <c r="BB6" s="17" t="n">
        <f aca="false">SUM($C$5:BB$5)</f>
        <v>180.625</v>
      </c>
      <c r="BC6" s="17" t="n">
        <f aca="false">SUM($C$5:BC$5)</f>
        <v>180.625</v>
      </c>
      <c r="BD6" s="17" t="n">
        <f aca="false">SUM($C$5:BD$5)</f>
        <v>180.625</v>
      </c>
      <c r="BE6" s="17" t="n">
        <f aca="false">SUM($C$5:BE$5)</f>
        <v>180.625</v>
      </c>
      <c r="BF6" s="17" t="n">
        <f aca="false">SUM($C$5:BF$5)</f>
        <v>180.625</v>
      </c>
      <c r="BG6" s="17" t="n">
        <f aca="false">SUM($C$5:BG$5)</f>
        <v>180.625</v>
      </c>
      <c r="BH6" s="17" t="n">
        <f aca="false">SUM($C$5:BH$5)</f>
        <v>180.625</v>
      </c>
      <c r="BI6" s="17" t="n">
        <f aca="false">SUM($C$5:BI$5)</f>
        <v>180.625</v>
      </c>
      <c r="BJ6" s="17" t="n">
        <f aca="false">SUM($C$5:BJ$5)</f>
        <v>180.625</v>
      </c>
      <c r="BK6" s="17" t="n">
        <f aca="false">SUM($C$5:BK$5)</f>
        <v>180.625</v>
      </c>
      <c r="BL6" s="17" t="n">
        <f aca="false">SUM($C$5:BL$5)</f>
        <v>180.625</v>
      </c>
      <c r="BM6" s="17" t="n">
        <f aca="false">SUM($C$5:BM$5)</f>
        <v>180.625</v>
      </c>
      <c r="BN6" s="17" t="n">
        <f aca="false">SUM($C$5:BN$5)</f>
        <v>180.625</v>
      </c>
      <c r="BO6" s="17" t="n">
        <f aca="false">SUM($C$5:BO$5)</f>
        <v>180.625</v>
      </c>
      <c r="BP6" s="17" t="n">
        <f aca="false">SUM($C$5:BP$5)</f>
        <v>180.625</v>
      </c>
      <c r="BQ6" s="17" t="n">
        <f aca="false">SUM($C$5:BQ$5)</f>
        <v>180.625</v>
      </c>
      <c r="BR6" s="17" t="n">
        <f aca="false">SUM($C$5:BR$5)</f>
        <v>180.625</v>
      </c>
      <c r="BS6" s="17" t="n">
        <f aca="false">SUM($C$5:BS$5)</f>
        <v>180.625</v>
      </c>
      <c r="BT6" s="17" t="n">
        <f aca="false">SUM($C$5:BT$5)</f>
        <v>180.625</v>
      </c>
      <c r="BU6" s="17" t="n">
        <f aca="false">SUM($C$5:BU$5)</f>
        <v>180.625</v>
      </c>
      <c r="BV6" s="17" t="n">
        <f aca="false">SUM($C$5:BV$5)</f>
        <v>180.625</v>
      </c>
      <c r="BW6" s="17" t="n">
        <f aca="false">SUM($C$5:BW$5)</f>
        <v>180.625</v>
      </c>
      <c r="BX6" s="17" t="n">
        <f aca="false">SUM($C$5:BX$5)</f>
        <v>180.625</v>
      </c>
      <c r="BY6" s="17" t="n">
        <f aca="false">SUM($C$5:BY$5)</f>
        <v>180.625</v>
      </c>
      <c r="BZ6" s="17" t="n">
        <f aca="false">SUM($C$5:BZ$5)</f>
        <v>180.625</v>
      </c>
      <c r="CA6" s="17" t="n">
        <f aca="false">SUM($C$5:CA$5)</f>
        <v>180.625</v>
      </c>
      <c r="CB6" s="17" t="n">
        <f aca="false">SUM($C$5:CB$5)</f>
        <v>180.625</v>
      </c>
      <c r="CC6" s="17" t="n">
        <f aca="false">SUM($C$5:CC$5)</f>
        <v>180.625</v>
      </c>
      <c r="CD6" s="17" t="n">
        <f aca="false">SUM($C$5:CD$5)</f>
        <v>180.625</v>
      </c>
      <c r="CE6" s="17" t="n">
        <f aca="false">SUM($C$5:CE$5)</f>
        <v>180.625</v>
      </c>
      <c r="CF6" s="17" t="n">
        <f aca="false">SUM($C$5:CF$5)</f>
        <v>180.625</v>
      </c>
      <c r="CG6" s="17" t="n">
        <f aca="false">SUM($C$5:CG$5)</f>
        <v>180.625</v>
      </c>
      <c r="CH6" s="17" t="n">
        <f aca="false">SUM($C$5:CH$5)</f>
        <v>180.625</v>
      </c>
    </row>
    <row r="7" customFormat="false" ht="15" hidden="false" customHeight="false" outlineLevel="0" collapsed="false">
      <c r="A7" s="6" t="s">
        <v>155</v>
      </c>
      <c r="B7" s="9" t="n">
        <f aca="false">SUM(C7:CH7)</f>
        <v>4624000</v>
      </c>
      <c r="C7" s="22" t="n">
        <f aca="false">C5*Supuestos!$B$9*Supuestos!$B$14</f>
        <v>0</v>
      </c>
      <c r="D7" s="22" t="n">
        <f aca="false">D5*Supuestos!$B$9*Supuestos!$B$14</f>
        <v>0</v>
      </c>
      <c r="E7" s="22" t="n">
        <f aca="false">E5*Supuestos!$B$9*Supuestos!$B$14</f>
        <v>0</v>
      </c>
      <c r="F7" s="22" t="n">
        <f aca="false">F5*Supuestos!$B$9*Supuestos!$B$14</f>
        <v>0</v>
      </c>
      <c r="G7" s="22" t="n">
        <f aca="false">G5*Supuestos!$B$9*Supuestos!$B$14</f>
        <v>0</v>
      </c>
      <c r="H7" s="22" t="n">
        <f aca="false">H5*Supuestos!$B$9*Supuestos!$B$14</f>
        <v>0</v>
      </c>
      <c r="I7" s="22" t="n">
        <f aca="false">I5*Supuestos!$B$9*Supuestos!$B$14</f>
        <v>0</v>
      </c>
      <c r="J7" s="22" t="n">
        <f aca="false">J5*Supuestos!$B$9*Supuestos!$B$14</f>
        <v>0</v>
      </c>
      <c r="K7" s="22" t="n">
        <f aca="false">K5*Supuestos!$B$9*Supuestos!$B$14</f>
        <v>0</v>
      </c>
      <c r="L7" s="22" t="n">
        <f aca="false">L5*Supuestos!$B$9*Supuestos!$B$14</f>
        <v>128000</v>
      </c>
      <c r="M7" s="22" t="n">
        <f aca="false">M5*Supuestos!$B$9*Supuestos!$B$14</f>
        <v>128000</v>
      </c>
      <c r="N7" s="22" t="n">
        <f aca="false">N5*Supuestos!$B$9*Supuestos!$B$14</f>
        <v>128000</v>
      </c>
      <c r="O7" s="22" t="n">
        <f aca="false">O5*Supuestos!$B$9*Supuestos!$B$14</f>
        <v>128000</v>
      </c>
      <c r="P7" s="22" t="n">
        <f aca="false">P5*Supuestos!$B$9*Supuestos!$B$14</f>
        <v>128000</v>
      </c>
      <c r="Q7" s="22" t="n">
        <f aca="false">Q5*Supuestos!$B$9*Supuestos!$B$14</f>
        <v>128000</v>
      </c>
      <c r="R7" s="22" t="n">
        <f aca="false">R5*Supuestos!$B$9*Supuestos!$B$14</f>
        <v>128000</v>
      </c>
      <c r="S7" s="22" t="n">
        <f aca="false">S5*Supuestos!$B$9*Supuestos!$B$14</f>
        <v>128000</v>
      </c>
      <c r="T7" s="22" t="n">
        <f aca="false">T5*Supuestos!$B$9*Supuestos!$B$14</f>
        <v>128000</v>
      </c>
      <c r="U7" s="22" t="n">
        <f aca="false">U5*Supuestos!$B$9*Supuestos!$B$14</f>
        <v>128000</v>
      </c>
      <c r="V7" s="22" t="n">
        <f aca="false">V5*Supuestos!$B$9*Supuestos!$B$14</f>
        <v>128000</v>
      </c>
      <c r="W7" s="22" t="n">
        <f aca="false">W5*Supuestos!$B$9*Supuestos!$B$14</f>
        <v>128000</v>
      </c>
      <c r="X7" s="22" t="n">
        <f aca="false">X5*Supuestos!$B$9*Supuestos!$B$14</f>
        <v>128000</v>
      </c>
      <c r="Y7" s="22" t="n">
        <f aca="false">Y5*Supuestos!$B$9*Supuestos!$B$14</f>
        <v>128000</v>
      </c>
      <c r="Z7" s="22" t="n">
        <f aca="false">Z5*Supuestos!$B$9*Supuestos!$B$14</f>
        <v>128000</v>
      </c>
      <c r="AA7" s="22" t="n">
        <f aca="false">AA5*Supuestos!$B$9*Supuestos!$B$14</f>
        <v>128000</v>
      </c>
      <c r="AB7" s="22" t="n">
        <f aca="false">AB5*Supuestos!$B$9*Supuestos!$B$14</f>
        <v>128000</v>
      </c>
      <c r="AC7" s="22" t="n">
        <f aca="false">AC5*Supuestos!$B$9*Supuestos!$B$14</f>
        <v>128000</v>
      </c>
      <c r="AD7" s="22" t="n">
        <f aca="false">AD5*Supuestos!$B$9*Supuestos!$B$14</f>
        <v>128000</v>
      </c>
      <c r="AE7" s="22" t="n">
        <f aca="false">AE5*Supuestos!$B$9*Supuestos!$B$14</f>
        <v>128000</v>
      </c>
      <c r="AF7" s="22" t="n">
        <f aca="false">AF5*Supuestos!$B$9*Supuestos!$B$14</f>
        <v>128000</v>
      </c>
      <c r="AG7" s="22" t="n">
        <f aca="false">AG5*Supuestos!$B$9*Supuestos!$B$14</f>
        <v>128000</v>
      </c>
      <c r="AH7" s="22" t="n">
        <f aca="false">AH5*Supuestos!$B$9*Supuestos!$B$14</f>
        <v>128000</v>
      </c>
      <c r="AI7" s="22" t="n">
        <f aca="false">AI5*Supuestos!$B$9*Supuestos!$B$14</f>
        <v>128000</v>
      </c>
      <c r="AJ7" s="22" t="n">
        <f aca="false">AJ5*Supuestos!$B$9*Supuestos!$B$14</f>
        <v>128000</v>
      </c>
      <c r="AK7" s="22" t="n">
        <f aca="false">AK5*Supuestos!$B$9*Supuestos!$B$14</f>
        <v>128000</v>
      </c>
      <c r="AL7" s="22" t="n">
        <f aca="false">AL5*Supuestos!$B$9*Supuestos!$B$14</f>
        <v>128000</v>
      </c>
      <c r="AM7" s="22" t="n">
        <f aca="false">AM5*Supuestos!$B$9*Supuestos!$B$14</f>
        <v>128000</v>
      </c>
      <c r="AN7" s="22" t="n">
        <f aca="false">AN5*Supuestos!$B$9*Supuestos!$B$14</f>
        <v>128000</v>
      </c>
      <c r="AO7" s="22" t="n">
        <f aca="false">AO5*Supuestos!$B$9*Supuestos!$B$14</f>
        <v>128000</v>
      </c>
      <c r="AP7" s="22" t="n">
        <f aca="false">AP5*Supuestos!$B$9*Supuestos!$B$14</f>
        <v>128000</v>
      </c>
      <c r="AQ7" s="22" t="n">
        <f aca="false">AQ5*Supuestos!$B$9*Supuestos!$B$14</f>
        <v>128000</v>
      </c>
      <c r="AR7" s="22" t="n">
        <f aca="false">AR5*Supuestos!$B$9*Supuestos!$B$14</f>
        <v>128000</v>
      </c>
      <c r="AS7" s="22" t="n">
        <f aca="false">AS5*Supuestos!$B$9*Supuestos!$B$14</f>
        <v>128000</v>
      </c>
      <c r="AT7" s="22" t="n">
        <f aca="false">AT5*Supuestos!$B$9*Supuestos!$B$14</f>
        <v>128000</v>
      </c>
      <c r="AU7" s="22" t="n">
        <f aca="false">AU5*Supuestos!$B$9*Supuestos!$B$14</f>
        <v>128000</v>
      </c>
      <c r="AV7" s="22" t="n">
        <f aca="false">AV5*Supuestos!$B$9*Supuestos!$B$14</f>
        <v>16000</v>
      </c>
      <c r="AW7" s="22" t="n">
        <f aca="false">AW5*Supuestos!$B$9*Supuestos!$B$14</f>
        <v>0</v>
      </c>
      <c r="AX7" s="22" t="n">
        <f aca="false">AX5*Supuestos!$B$9*Supuestos!$B$14</f>
        <v>0</v>
      </c>
      <c r="AY7" s="22" t="n">
        <f aca="false">AY5*Supuestos!$B$9*Supuestos!$B$14</f>
        <v>0</v>
      </c>
      <c r="AZ7" s="22" t="n">
        <f aca="false">AZ5*Supuestos!$B$9*Supuestos!$B$14</f>
        <v>0</v>
      </c>
      <c r="BA7" s="22" t="n">
        <f aca="false">BA5*Supuestos!$B$9*Supuestos!$B$14</f>
        <v>0</v>
      </c>
      <c r="BB7" s="22" t="n">
        <f aca="false">BB5*Supuestos!$B$9*Supuestos!$B$14</f>
        <v>0</v>
      </c>
      <c r="BC7" s="22" t="n">
        <f aca="false">BC5*Supuestos!$B$9*Supuestos!$B$14</f>
        <v>0</v>
      </c>
      <c r="BD7" s="22" t="n">
        <f aca="false">BD5*Supuestos!$B$9*Supuestos!$B$14</f>
        <v>0</v>
      </c>
      <c r="BE7" s="22" t="n">
        <f aca="false">BE5*Supuestos!$B$9*Supuestos!$B$14</f>
        <v>0</v>
      </c>
      <c r="BF7" s="22" t="n">
        <f aca="false">BF5*Supuestos!$B$9*Supuestos!$B$14</f>
        <v>0</v>
      </c>
      <c r="BG7" s="22" t="n">
        <f aca="false">BG5*Supuestos!$B$9*Supuestos!$B$14</f>
        <v>0</v>
      </c>
      <c r="BH7" s="22" t="n">
        <f aca="false">BH5*Supuestos!$B$9*Supuestos!$B$14</f>
        <v>0</v>
      </c>
      <c r="BI7" s="22" t="n">
        <f aca="false">BI5*Supuestos!$B$9*Supuestos!$B$14</f>
        <v>0</v>
      </c>
      <c r="BJ7" s="22" t="n">
        <f aca="false">BJ5*Supuestos!$B$9*Supuestos!$B$14</f>
        <v>0</v>
      </c>
      <c r="BK7" s="22" t="n">
        <f aca="false">BK5*Supuestos!$B$9*Supuestos!$B$14</f>
        <v>0</v>
      </c>
      <c r="BL7" s="22" t="n">
        <f aca="false">BL5*Supuestos!$B$9*Supuestos!$B$14</f>
        <v>0</v>
      </c>
      <c r="BM7" s="22" t="n">
        <f aca="false">BM5*Supuestos!$B$9*Supuestos!$B$14</f>
        <v>0</v>
      </c>
      <c r="BN7" s="22" t="n">
        <f aca="false">BN5*Supuestos!$B$9*Supuestos!$B$14</f>
        <v>0</v>
      </c>
      <c r="BO7" s="22" t="n">
        <f aca="false">BO5*Supuestos!$B$9*Supuestos!$B$14</f>
        <v>0</v>
      </c>
      <c r="BP7" s="22" t="n">
        <f aca="false">BP5*Supuestos!$B$9*Supuestos!$B$14</f>
        <v>0</v>
      </c>
      <c r="BQ7" s="22" t="n">
        <f aca="false">BQ5*Supuestos!$B$9*Supuestos!$B$14</f>
        <v>0</v>
      </c>
      <c r="BR7" s="22" t="n">
        <f aca="false">BR5*Supuestos!$B$9*Supuestos!$B$14</f>
        <v>0</v>
      </c>
      <c r="BS7" s="22" t="n">
        <f aca="false">BS5*Supuestos!$B$9*Supuestos!$B$14</f>
        <v>0</v>
      </c>
      <c r="BT7" s="22" t="n">
        <f aca="false">BT5*Supuestos!$B$9*Supuestos!$B$14</f>
        <v>0</v>
      </c>
      <c r="BU7" s="22" t="n">
        <f aca="false">BU5*Supuestos!$B$9*Supuestos!$B$14</f>
        <v>0</v>
      </c>
      <c r="BV7" s="22" t="n">
        <f aca="false">BV5*Supuestos!$B$9*Supuestos!$B$14</f>
        <v>0</v>
      </c>
      <c r="BW7" s="22" t="n">
        <f aca="false">BW5*Supuestos!$B$9*Supuestos!$B$14</f>
        <v>0</v>
      </c>
      <c r="BX7" s="22" t="n">
        <f aca="false">BX5*Supuestos!$B$9*Supuestos!$B$14</f>
        <v>0</v>
      </c>
      <c r="BY7" s="22" t="n">
        <f aca="false">BY5*Supuestos!$B$9*Supuestos!$B$14</f>
        <v>0</v>
      </c>
      <c r="BZ7" s="22" t="n">
        <f aca="false">BZ5*Supuestos!$B$9*Supuestos!$B$14</f>
        <v>0</v>
      </c>
      <c r="CA7" s="22" t="n">
        <f aca="false">CA5*Supuestos!$B$9*Supuestos!$B$14</f>
        <v>0</v>
      </c>
      <c r="CB7" s="22" t="n">
        <f aca="false">CB5*Supuestos!$B$9*Supuestos!$B$14</f>
        <v>0</v>
      </c>
      <c r="CC7" s="22" t="n">
        <f aca="false">CC5*Supuestos!$B$9*Supuestos!$B$14</f>
        <v>0</v>
      </c>
      <c r="CD7" s="22" t="n">
        <f aca="false">CD5*Supuestos!$B$9*Supuestos!$B$14</f>
        <v>0</v>
      </c>
      <c r="CE7" s="22" t="n">
        <f aca="false">CE5*Supuestos!$B$9*Supuestos!$B$14</f>
        <v>0</v>
      </c>
      <c r="CF7" s="22" t="n">
        <f aca="false">CF5*Supuestos!$B$9*Supuestos!$B$14</f>
        <v>0</v>
      </c>
      <c r="CG7" s="22" t="n">
        <f aca="false">CG5*Supuestos!$B$9*Supuestos!$B$14</f>
        <v>0</v>
      </c>
      <c r="CH7" s="22" t="n">
        <f aca="false">CH5*Supuestos!$B$9*Supuestos!$B$14</f>
        <v>0</v>
      </c>
    </row>
    <row r="8" customFormat="false" ht="15" hidden="false" customHeight="false" outlineLevel="0" collapsed="false">
      <c r="A8" s="6" t="s">
        <v>156</v>
      </c>
      <c r="B8" s="9" t="n">
        <f aca="false">SUM(C8:CH8)</f>
        <v>1387200</v>
      </c>
      <c r="C8" s="22" t="n">
        <f aca="false">C7*Supuestos!$B$19</f>
        <v>0</v>
      </c>
      <c r="D8" s="22" t="n">
        <f aca="false">D7*Supuestos!$B$19</f>
        <v>0</v>
      </c>
      <c r="E8" s="22" t="n">
        <f aca="false">E7*Supuestos!$B$19</f>
        <v>0</v>
      </c>
      <c r="F8" s="22" t="n">
        <f aca="false">F7*Supuestos!$B$19</f>
        <v>0</v>
      </c>
      <c r="G8" s="22" t="n">
        <f aca="false">G7*Supuestos!$B$19</f>
        <v>0</v>
      </c>
      <c r="H8" s="22" t="n">
        <f aca="false">H7*Supuestos!$B$19</f>
        <v>0</v>
      </c>
      <c r="I8" s="22" t="n">
        <f aca="false">I7*Supuestos!$B$19</f>
        <v>0</v>
      </c>
      <c r="J8" s="22" t="n">
        <f aca="false">J7*Supuestos!$B$19</f>
        <v>0</v>
      </c>
      <c r="K8" s="22" t="n">
        <f aca="false">K7*Supuestos!$B$19</f>
        <v>0</v>
      </c>
      <c r="L8" s="22" t="n">
        <f aca="false">L7*Supuestos!$B$19</f>
        <v>38400</v>
      </c>
      <c r="M8" s="22" t="n">
        <f aca="false">M7*Supuestos!$B$19</f>
        <v>38400</v>
      </c>
      <c r="N8" s="22" t="n">
        <f aca="false">N7*Supuestos!$B$19</f>
        <v>38400</v>
      </c>
      <c r="O8" s="22" t="n">
        <f aca="false">O7*Supuestos!$B$19</f>
        <v>38400</v>
      </c>
      <c r="P8" s="22" t="n">
        <f aca="false">P7*Supuestos!$B$19</f>
        <v>38400</v>
      </c>
      <c r="Q8" s="22" t="n">
        <f aca="false">Q7*Supuestos!$B$19</f>
        <v>38400</v>
      </c>
      <c r="R8" s="22" t="n">
        <f aca="false">R7*Supuestos!$B$19</f>
        <v>38400</v>
      </c>
      <c r="S8" s="22" t="n">
        <f aca="false">S7*Supuestos!$B$19</f>
        <v>38400</v>
      </c>
      <c r="T8" s="22" t="n">
        <f aca="false">T7*Supuestos!$B$19</f>
        <v>38400</v>
      </c>
      <c r="U8" s="22" t="n">
        <f aca="false">U7*Supuestos!$B$19</f>
        <v>38400</v>
      </c>
      <c r="V8" s="22" t="n">
        <f aca="false">V7*Supuestos!$B$19</f>
        <v>38400</v>
      </c>
      <c r="W8" s="22" t="n">
        <f aca="false">W7*Supuestos!$B$19</f>
        <v>38400</v>
      </c>
      <c r="X8" s="22" t="n">
        <f aca="false">X7*Supuestos!$B$19</f>
        <v>38400</v>
      </c>
      <c r="Y8" s="22" t="n">
        <f aca="false">Y7*Supuestos!$B$19</f>
        <v>38400</v>
      </c>
      <c r="Z8" s="22" t="n">
        <f aca="false">Z7*Supuestos!$B$19</f>
        <v>38400</v>
      </c>
      <c r="AA8" s="22" t="n">
        <f aca="false">AA7*Supuestos!$B$19</f>
        <v>38400</v>
      </c>
      <c r="AB8" s="22" t="n">
        <f aca="false">AB7*Supuestos!$B$19</f>
        <v>38400</v>
      </c>
      <c r="AC8" s="22" t="n">
        <f aca="false">AC7*Supuestos!$B$19</f>
        <v>38400</v>
      </c>
      <c r="AD8" s="22" t="n">
        <f aca="false">AD7*Supuestos!$B$19</f>
        <v>38400</v>
      </c>
      <c r="AE8" s="22" t="n">
        <f aca="false">AE7*Supuestos!$B$19</f>
        <v>38400</v>
      </c>
      <c r="AF8" s="22" t="n">
        <f aca="false">AF7*Supuestos!$B$19</f>
        <v>38400</v>
      </c>
      <c r="AG8" s="22" t="n">
        <f aca="false">AG7*Supuestos!$B$19</f>
        <v>38400</v>
      </c>
      <c r="AH8" s="22" t="n">
        <f aca="false">AH7*Supuestos!$B$19</f>
        <v>38400</v>
      </c>
      <c r="AI8" s="22" t="n">
        <f aca="false">AI7*Supuestos!$B$19</f>
        <v>38400</v>
      </c>
      <c r="AJ8" s="22" t="n">
        <f aca="false">AJ7*Supuestos!$B$19</f>
        <v>38400</v>
      </c>
      <c r="AK8" s="22" t="n">
        <f aca="false">AK7*Supuestos!$B$19</f>
        <v>38400</v>
      </c>
      <c r="AL8" s="22" t="n">
        <f aca="false">AL7*Supuestos!$B$19</f>
        <v>38400</v>
      </c>
      <c r="AM8" s="22" t="n">
        <f aca="false">AM7*Supuestos!$B$19</f>
        <v>38400</v>
      </c>
      <c r="AN8" s="22" t="n">
        <f aca="false">AN7*Supuestos!$B$19</f>
        <v>38400</v>
      </c>
      <c r="AO8" s="22" t="n">
        <f aca="false">AO7*Supuestos!$B$19</f>
        <v>38400</v>
      </c>
      <c r="AP8" s="22" t="n">
        <f aca="false">AP7*Supuestos!$B$19</f>
        <v>38400</v>
      </c>
      <c r="AQ8" s="22" t="n">
        <f aca="false">AQ7*Supuestos!$B$19</f>
        <v>38400</v>
      </c>
      <c r="AR8" s="22" t="n">
        <f aca="false">AR7*Supuestos!$B$19</f>
        <v>38400</v>
      </c>
      <c r="AS8" s="22" t="n">
        <f aca="false">AS7*Supuestos!$B$19</f>
        <v>38400</v>
      </c>
      <c r="AT8" s="22" t="n">
        <f aca="false">AT7*Supuestos!$B$19</f>
        <v>38400</v>
      </c>
      <c r="AU8" s="22" t="n">
        <f aca="false">AU7*Supuestos!$B$19</f>
        <v>38400</v>
      </c>
      <c r="AV8" s="22" t="n">
        <f aca="false">AV7*Supuestos!$B$19</f>
        <v>4800</v>
      </c>
      <c r="AW8" s="22" t="n">
        <f aca="false">AW7*Supuestos!$B$19</f>
        <v>0</v>
      </c>
      <c r="AX8" s="22" t="n">
        <f aca="false">AX7*Supuestos!$B$19</f>
        <v>0</v>
      </c>
      <c r="AY8" s="22" t="n">
        <f aca="false">AY7*Supuestos!$B$19</f>
        <v>0</v>
      </c>
      <c r="AZ8" s="22" t="n">
        <f aca="false">AZ7*Supuestos!$B$19</f>
        <v>0</v>
      </c>
      <c r="BA8" s="22" t="n">
        <f aca="false">BA7*Supuestos!$B$19</f>
        <v>0</v>
      </c>
      <c r="BB8" s="22" t="n">
        <f aca="false">BB7*Supuestos!$B$19</f>
        <v>0</v>
      </c>
      <c r="BC8" s="22" t="n">
        <f aca="false">BC7*Supuestos!$B$19</f>
        <v>0</v>
      </c>
      <c r="BD8" s="22" t="n">
        <f aca="false">BD7*Supuestos!$B$19</f>
        <v>0</v>
      </c>
      <c r="BE8" s="22" t="n">
        <f aca="false">BE7*Supuestos!$B$19</f>
        <v>0</v>
      </c>
      <c r="BF8" s="22" t="n">
        <f aca="false">BF7*Supuestos!$B$19</f>
        <v>0</v>
      </c>
      <c r="BG8" s="22" t="n">
        <f aca="false">BG7*Supuestos!$B$19</f>
        <v>0</v>
      </c>
      <c r="BH8" s="22" t="n">
        <f aca="false">BH7*Supuestos!$B$19</f>
        <v>0</v>
      </c>
      <c r="BI8" s="22" t="n">
        <f aca="false">BI7*Supuestos!$B$19</f>
        <v>0</v>
      </c>
      <c r="BJ8" s="22" t="n">
        <f aca="false">BJ7*Supuestos!$B$19</f>
        <v>0</v>
      </c>
      <c r="BK8" s="22" t="n">
        <f aca="false">BK7*Supuestos!$B$19</f>
        <v>0</v>
      </c>
      <c r="BL8" s="22" t="n">
        <f aca="false">BL7*Supuestos!$B$19</f>
        <v>0</v>
      </c>
      <c r="BM8" s="22" t="n">
        <f aca="false">BM7*Supuestos!$B$19</f>
        <v>0</v>
      </c>
      <c r="BN8" s="22" t="n">
        <f aca="false">BN7*Supuestos!$B$19</f>
        <v>0</v>
      </c>
      <c r="BO8" s="22" t="n">
        <f aca="false">BO7*Supuestos!$B$19</f>
        <v>0</v>
      </c>
      <c r="BP8" s="22" t="n">
        <f aca="false">BP7*Supuestos!$B$19</f>
        <v>0</v>
      </c>
      <c r="BQ8" s="22" t="n">
        <f aca="false">BQ7*Supuestos!$B$19</f>
        <v>0</v>
      </c>
      <c r="BR8" s="22" t="n">
        <f aca="false">BR7*Supuestos!$B$19</f>
        <v>0</v>
      </c>
      <c r="BS8" s="22" t="n">
        <f aca="false">BS7*Supuestos!$B$19</f>
        <v>0</v>
      </c>
      <c r="BT8" s="22" t="n">
        <f aca="false">BT7*Supuestos!$B$19</f>
        <v>0</v>
      </c>
      <c r="BU8" s="22" t="n">
        <f aca="false">BU7*Supuestos!$B$19</f>
        <v>0</v>
      </c>
      <c r="BV8" s="22" t="n">
        <f aca="false">BV7*Supuestos!$B$19</f>
        <v>0</v>
      </c>
      <c r="BW8" s="22" t="n">
        <f aca="false">BW7*Supuestos!$B$19</f>
        <v>0</v>
      </c>
      <c r="BX8" s="22" t="n">
        <f aca="false">BX7*Supuestos!$B$19</f>
        <v>0</v>
      </c>
      <c r="BY8" s="22" t="n">
        <f aca="false">BY7*Supuestos!$B$19</f>
        <v>0</v>
      </c>
      <c r="BZ8" s="22" t="n">
        <f aca="false">BZ7*Supuestos!$B$19</f>
        <v>0</v>
      </c>
      <c r="CA8" s="22" t="n">
        <f aca="false">CA7*Supuestos!$B$19</f>
        <v>0</v>
      </c>
      <c r="CB8" s="22" t="n">
        <f aca="false">CB7*Supuestos!$B$19</f>
        <v>0</v>
      </c>
      <c r="CC8" s="22" t="n">
        <f aca="false">CC7*Supuestos!$B$19</f>
        <v>0</v>
      </c>
      <c r="CD8" s="22" t="n">
        <f aca="false">CD7*Supuestos!$B$19</f>
        <v>0</v>
      </c>
      <c r="CE8" s="22" t="n">
        <f aca="false">CE7*Supuestos!$B$19</f>
        <v>0</v>
      </c>
      <c r="CF8" s="22" t="n">
        <f aca="false">CF7*Supuestos!$B$19</f>
        <v>0</v>
      </c>
      <c r="CG8" s="22" t="n">
        <f aca="false">CG7*Supuestos!$B$19</f>
        <v>0</v>
      </c>
      <c r="CH8" s="22" t="n">
        <f aca="false">CH7*Supuestos!$B$19</f>
        <v>0</v>
      </c>
    </row>
    <row r="9" customFormat="false" ht="15" hidden="false" customHeight="false" outlineLevel="0" collapsed="false">
      <c r="A9" s="6" t="s">
        <v>157</v>
      </c>
      <c r="B9" s="14" t="n">
        <f aca="false">-PMT(Supuestos!$B$21/12,Supuestos!$B$20,Supuestos!$B$9*Supuestos!$B$14*(1-Supuestos!$B$19))</f>
        <v>595.200431846293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</row>
    <row r="10" customFormat="false" ht="15" hidden="false" customHeight="false" outlineLevel="0" collapsed="false">
      <c r="A10" s="6" t="s">
        <v>158</v>
      </c>
      <c r="B10" s="14" t="n">
        <f aca="false">SUM(C10:CH10)</f>
        <v>3870290.80808052</v>
      </c>
      <c r="C10" s="14" t="n">
        <f aca="false">$B$9*(0-IF(0-Supuestos!$B$20&gt;=1,INDEX($C$6:$CH$6,1,0-Supuestos!$B$20),0))</f>
        <v>0</v>
      </c>
      <c r="D10" s="14" t="n">
        <f aca="false">$B$9*(INDEX($C$6:$CH$6,1,1)-IF(1-Supuestos!$B$20&gt;=1,INDEX($C$6:$CH$6,1,1-Supuestos!$B$20),0))</f>
        <v>0</v>
      </c>
      <c r="E10" s="14" t="n">
        <f aca="false">$B$9*(INDEX($C$6:$CH$6,1,2)-IF(2-Supuestos!$B$20&gt;=1,INDEX($C$6:$CH$6,1,2-Supuestos!$B$20),0))</f>
        <v>0</v>
      </c>
      <c r="F10" s="14" t="n">
        <f aca="false">$B$9*(INDEX($C$6:$CH$6,1,3)-IF(3-Supuestos!$B$20&gt;=1,INDEX($C$6:$CH$6,1,3-Supuestos!$B$20),0))</f>
        <v>0</v>
      </c>
      <c r="G10" s="14" t="n">
        <f aca="false">$B$9*(INDEX($C$6:$CH$6,1,4)-IF(4-Supuestos!$B$20&gt;=1,INDEX($C$6:$CH$6,1,4-Supuestos!$B$20),0))</f>
        <v>0</v>
      </c>
      <c r="H10" s="14" t="n">
        <f aca="false">$B$9*(INDEX($C$6:$CH$6,1,5)-IF(5-Supuestos!$B$20&gt;=1,INDEX($C$6:$CH$6,1,5-Supuestos!$B$20),0))</f>
        <v>0</v>
      </c>
      <c r="I10" s="14" t="n">
        <f aca="false">$B$9*(INDEX($C$6:$CH$6,1,6)-IF(6-Supuestos!$B$20&gt;=1,INDEX($C$6:$CH$6,1,6-Supuestos!$B$20),0))</f>
        <v>0</v>
      </c>
      <c r="J10" s="14" t="n">
        <f aca="false">$B$9*(INDEX($C$6:$CH$6,1,7)-IF(7-Supuestos!$B$20&gt;=1,INDEX($C$6:$CH$6,1,7-Supuestos!$B$20),0))</f>
        <v>0</v>
      </c>
      <c r="K10" s="14" t="n">
        <f aca="false">$B$9*(INDEX($C$6:$CH$6,1,8)-IF(8-Supuestos!$B$20&gt;=1,INDEX($C$6:$CH$6,1,8-Supuestos!$B$20),0))</f>
        <v>0</v>
      </c>
      <c r="L10" s="14" t="n">
        <f aca="false">$B$9*(INDEX($C$6:$CH$6,1,9)-IF(9-Supuestos!$B$20&gt;=1,INDEX($C$6:$CH$6,1,9-Supuestos!$B$20),0))</f>
        <v>0</v>
      </c>
      <c r="M10" s="14" t="n">
        <f aca="false">$B$9*(INDEX($C$6:$CH$6,1,10)-IF(10-Supuestos!$B$20&gt;=1,INDEX($C$6:$CH$6,1,10-Supuestos!$B$20),0))</f>
        <v>2976.00215923147</v>
      </c>
      <c r="N10" s="14" t="n">
        <f aca="false">$B$9*(INDEX($C$6:$CH$6,1,11)-IF(11-Supuestos!$B$20&gt;=1,INDEX($C$6:$CH$6,1,11-Supuestos!$B$20),0))</f>
        <v>5952.00431846293</v>
      </c>
      <c r="O10" s="14" t="n">
        <f aca="false">$B$9*(INDEX($C$6:$CH$6,1,12)-IF(12-Supuestos!$B$20&gt;=1,INDEX($C$6:$CH$6,1,12-Supuestos!$B$20),0))</f>
        <v>8928.0064776944</v>
      </c>
      <c r="P10" s="14" t="n">
        <f aca="false">$B$9*(INDEX($C$6:$CH$6,1,13)-IF(13-Supuestos!$B$20&gt;=1,INDEX($C$6:$CH$6,1,13-Supuestos!$B$20),0))</f>
        <v>11904.0086369259</v>
      </c>
      <c r="Q10" s="14" t="n">
        <f aca="false">$B$9*(INDEX($C$6:$CH$6,1,14)-IF(14-Supuestos!$B$20&gt;=1,INDEX($C$6:$CH$6,1,14-Supuestos!$B$20),0))</f>
        <v>14880.0107961573</v>
      </c>
      <c r="R10" s="14" t="n">
        <f aca="false">$B$9*(INDEX($C$6:$CH$6,1,15)-IF(15-Supuestos!$B$20&gt;=1,INDEX($C$6:$CH$6,1,15-Supuestos!$B$20),0))</f>
        <v>17856.0129553888</v>
      </c>
      <c r="S10" s="14" t="n">
        <f aca="false">$B$9*(INDEX($C$6:$CH$6,1,16)-IF(16-Supuestos!$B$20&gt;=1,INDEX($C$6:$CH$6,1,16-Supuestos!$B$20),0))</f>
        <v>20832.0151146203</v>
      </c>
      <c r="T10" s="14" t="n">
        <f aca="false">$B$9*(INDEX($C$6:$CH$6,1,17)-IF(17-Supuestos!$B$20&gt;=1,INDEX($C$6:$CH$6,1,17-Supuestos!$B$20),0))</f>
        <v>23808.0172738517</v>
      </c>
      <c r="U10" s="14" t="n">
        <f aca="false">$B$9*(INDEX($C$6:$CH$6,1,18)-IF(18-Supuestos!$B$20&gt;=1,INDEX($C$6:$CH$6,1,18-Supuestos!$B$20),0))</f>
        <v>26784.0194330832</v>
      </c>
      <c r="V10" s="14" t="n">
        <f aca="false">$B$9*(INDEX($C$6:$CH$6,1,19)-IF(19-Supuestos!$B$20&gt;=1,INDEX($C$6:$CH$6,1,19-Supuestos!$B$20),0))</f>
        <v>29760.0215923147</v>
      </c>
      <c r="W10" s="14" t="n">
        <f aca="false">$B$9*(INDEX($C$6:$CH$6,1,20)-IF(20-Supuestos!$B$20&gt;=1,INDEX($C$6:$CH$6,1,20-Supuestos!$B$20),0))</f>
        <v>32736.0237515461</v>
      </c>
      <c r="X10" s="14" t="n">
        <f aca="false">$B$9*(INDEX($C$6:$CH$6,1,21)-IF(21-Supuestos!$B$20&gt;=1,INDEX($C$6:$CH$6,1,21-Supuestos!$B$20),0))</f>
        <v>35712.0259107776</v>
      </c>
      <c r="Y10" s="14" t="n">
        <f aca="false">$B$9*(INDEX($C$6:$CH$6,1,22)-IF(22-Supuestos!$B$20&gt;=1,INDEX($C$6:$CH$6,1,22-Supuestos!$B$20),0))</f>
        <v>38688.0280700091</v>
      </c>
      <c r="Z10" s="14" t="n">
        <f aca="false">$B$9*(INDEX($C$6:$CH$6,1,23)-IF(23-Supuestos!$B$20&gt;=1,INDEX($C$6:$CH$6,1,23-Supuestos!$B$20),0))</f>
        <v>41664.0302292405</v>
      </c>
      <c r="AA10" s="14" t="n">
        <f aca="false">$B$9*(INDEX($C$6:$CH$6,1,24)-IF(24-Supuestos!$B$20&gt;=1,INDEX($C$6:$CH$6,1,24-Supuestos!$B$20),0))</f>
        <v>44640.032388472</v>
      </c>
      <c r="AB10" s="14" t="n">
        <f aca="false">$B$9*(INDEX($C$6:$CH$6,1,25)-IF(25-Supuestos!$B$20&gt;=1,INDEX($C$6:$CH$6,1,25-Supuestos!$B$20),0))</f>
        <v>47616.0345477035</v>
      </c>
      <c r="AC10" s="14" t="n">
        <f aca="false">$B$9*(INDEX($C$6:$CH$6,1,26)-IF(26-Supuestos!$B$20&gt;=1,INDEX($C$6:$CH$6,1,26-Supuestos!$B$20),0))</f>
        <v>50592.0367069349</v>
      </c>
      <c r="AD10" s="14" t="n">
        <f aca="false">$B$9*(INDEX($C$6:$CH$6,1,27)-IF(27-Supuestos!$B$20&gt;=1,INDEX($C$6:$CH$6,1,27-Supuestos!$B$20),0))</f>
        <v>53568.0388661664</v>
      </c>
      <c r="AE10" s="14" t="n">
        <f aca="false">$B$9*(INDEX($C$6:$CH$6,1,28)-IF(28-Supuestos!$B$20&gt;=1,INDEX($C$6:$CH$6,1,28-Supuestos!$B$20),0))</f>
        <v>56544.0410253979</v>
      </c>
      <c r="AF10" s="14" t="n">
        <f aca="false">$B$9*(INDEX($C$6:$CH$6,1,29)-IF(29-Supuestos!$B$20&gt;=1,INDEX($C$6:$CH$6,1,29-Supuestos!$B$20),0))</f>
        <v>59520.0431846293</v>
      </c>
      <c r="AG10" s="14" t="n">
        <f aca="false">$B$9*(INDEX($C$6:$CH$6,1,30)-IF(30-Supuestos!$B$20&gt;=1,INDEX($C$6:$CH$6,1,30-Supuestos!$B$20),0))</f>
        <v>62496.0453438608</v>
      </c>
      <c r="AH10" s="14" t="n">
        <f aca="false">$B$9*(INDEX($C$6:$CH$6,1,31)-IF(31-Supuestos!$B$20&gt;=1,INDEX($C$6:$CH$6,1,31-Supuestos!$B$20),0))</f>
        <v>65472.0475030923</v>
      </c>
      <c r="AI10" s="14" t="n">
        <f aca="false">$B$9*(INDEX($C$6:$CH$6,1,32)-IF(32-Supuestos!$B$20&gt;=1,INDEX($C$6:$CH$6,1,32-Supuestos!$B$20),0))</f>
        <v>68448.0496623237</v>
      </c>
      <c r="AJ10" s="14" t="n">
        <f aca="false">$B$9*(INDEX($C$6:$CH$6,1,33)-IF(33-Supuestos!$B$20&gt;=1,INDEX($C$6:$CH$6,1,33-Supuestos!$B$20),0))</f>
        <v>71424.0518215552</v>
      </c>
      <c r="AK10" s="14" t="n">
        <f aca="false">$B$9*(INDEX($C$6:$CH$6,1,34)-IF(34-Supuestos!$B$20&gt;=1,INDEX($C$6:$CH$6,1,34-Supuestos!$B$20),0))</f>
        <v>74400.0539807867</v>
      </c>
      <c r="AL10" s="14" t="n">
        <f aca="false">$B$9*(INDEX($C$6:$CH$6,1,35)-IF(35-Supuestos!$B$20&gt;=1,INDEX($C$6:$CH$6,1,35-Supuestos!$B$20),0))</f>
        <v>77376.0561400181</v>
      </c>
      <c r="AM10" s="14" t="n">
        <f aca="false">$B$9*(INDEX($C$6:$CH$6,1,36)-IF(36-Supuestos!$B$20&gt;=1,INDEX($C$6:$CH$6,1,36-Supuestos!$B$20),0))</f>
        <v>80352.0582992496</v>
      </c>
      <c r="AN10" s="14" t="n">
        <f aca="false">$B$9*(INDEX($C$6:$CH$6,1,37)-IF(37-Supuestos!$B$20&gt;=1,INDEX($C$6:$CH$6,1,37-Supuestos!$B$20),0))</f>
        <v>83328.0604584811</v>
      </c>
      <c r="AO10" s="14" t="n">
        <f aca="false">$B$9*(INDEX($C$6:$CH$6,1,38)-IF(38-Supuestos!$B$20&gt;=1,INDEX($C$6:$CH$6,1,38-Supuestos!$B$20),0))</f>
        <v>86304.0626177125</v>
      </c>
      <c r="AP10" s="14" t="n">
        <f aca="false">$B$9*(INDEX($C$6:$CH$6,1,39)-IF(39-Supuestos!$B$20&gt;=1,INDEX($C$6:$CH$6,1,39-Supuestos!$B$20),0))</f>
        <v>89280.064776944</v>
      </c>
      <c r="AQ10" s="14" t="n">
        <f aca="false">$B$9*(INDEX($C$6:$CH$6,1,40)-IF(40-Supuestos!$B$20&gt;=1,INDEX($C$6:$CH$6,1,40-Supuestos!$B$20),0))</f>
        <v>92256.0669361755</v>
      </c>
      <c r="AR10" s="14" t="n">
        <f aca="false">$B$9*(INDEX($C$6:$CH$6,1,41)-IF(41-Supuestos!$B$20&gt;=1,INDEX($C$6:$CH$6,1,41-Supuestos!$B$20),0))</f>
        <v>95232.0690954069</v>
      </c>
      <c r="AS10" s="14" t="n">
        <f aca="false">$B$9*(INDEX($C$6:$CH$6,1,42)-IF(42-Supuestos!$B$20&gt;=1,INDEX($C$6:$CH$6,1,42-Supuestos!$B$20),0))</f>
        <v>98208.0712546384</v>
      </c>
      <c r="AT10" s="14" t="n">
        <f aca="false">$B$9*(INDEX($C$6:$CH$6,1,43)-IF(43-Supuestos!$B$20&gt;=1,INDEX($C$6:$CH$6,1,43-Supuestos!$B$20),0))</f>
        <v>101184.07341387</v>
      </c>
      <c r="AU10" s="14" t="n">
        <f aca="false">$B$9*(INDEX($C$6:$CH$6,1,44)-IF(44-Supuestos!$B$20&gt;=1,INDEX($C$6:$CH$6,1,44-Supuestos!$B$20),0))</f>
        <v>104160.075573101</v>
      </c>
      <c r="AV10" s="14" t="n">
        <f aca="false">$B$9*(INDEX($C$6:$CH$6,1,45)-IF(45-Supuestos!$B$20&gt;=1,INDEX($C$6:$CH$6,1,45-Supuestos!$B$20),0))</f>
        <v>107136.077732333</v>
      </c>
      <c r="AW10" s="14" t="n">
        <f aca="false">$B$9*(INDEX($C$6:$CH$6,1,46)-IF(46-Supuestos!$B$20&gt;=1,INDEX($C$6:$CH$6,1,46-Supuestos!$B$20),0))</f>
        <v>104532.075843005</v>
      </c>
      <c r="AX10" s="14" t="n">
        <f aca="false">$B$9*(INDEX($C$6:$CH$6,1,47)-IF(47-Supuestos!$B$20&gt;=1,INDEX($C$6:$CH$6,1,47-Supuestos!$B$20),0))</f>
        <v>101556.073683774</v>
      </c>
      <c r="AY10" s="14" t="n">
        <f aca="false">$B$9*(INDEX($C$6:$CH$6,1,48)-IF(48-Supuestos!$B$20&gt;=1,INDEX($C$6:$CH$6,1,48-Supuestos!$B$20),0))</f>
        <v>98580.0715245423</v>
      </c>
      <c r="AZ10" s="14" t="n">
        <f aca="false">$B$9*(INDEX($C$6:$CH$6,1,49)-IF(49-Supuestos!$B$20&gt;=1,INDEX($C$6:$CH$6,1,49-Supuestos!$B$20),0))</f>
        <v>95604.0693653109</v>
      </c>
      <c r="BA10" s="14" t="n">
        <f aca="false">$B$9*(INDEX($C$6:$CH$6,1,50)-IF(50-Supuestos!$B$20&gt;=1,INDEX($C$6:$CH$6,1,50-Supuestos!$B$20),0))</f>
        <v>92628.0672060794</v>
      </c>
      <c r="BB10" s="14" t="n">
        <f aca="false">$B$9*(INDEX($C$6:$CH$6,1,51)-IF(51-Supuestos!$B$20&gt;=1,INDEX($C$6:$CH$6,1,51-Supuestos!$B$20),0))</f>
        <v>89652.0650468479</v>
      </c>
      <c r="BC10" s="14" t="n">
        <f aca="false">$B$9*(INDEX($C$6:$CH$6,1,52)-IF(52-Supuestos!$B$20&gt;=1,INDEX($C$6:$CH$6,1,52-Supuestos!$B$20),0))</f>
        <v>86676.0628876165</v>
      </c>
      <c r="BD10" s="14" t="n">
        <f aca="false">$B$9*(INDEX($C$6:$CH$6,1,53)-IF(53-Supuestos!$B$20&gt;=1,INDEX($C$6:$CH$6,1,53-Supuestos!$B$20),0))</f>
        <v>83700.060728385</v>
      </c>
      <c r="BE10" s="14" t="n">
        <f aca="false">$B$9*(INDEX($C$6:$CH$6,1,54)-IF(54-Supuestos!$B$20&gt;=1,INDEX($C$6:$CH$6,1,54-Supuestos!$B$20),0))</f>
        <v>80724.0585691535</v>
      </c>
      <c r="BF10" s="14" t="n">
        <f aca="false">$B$9*(INDEX($C$6:$CH$6,1,55)-IF(55-Supuestos!$B$20&gt;=1,INDEX($C$6:$CH$6,1,55-Supuestos!$B$20),0))</f>
        <v>77748.0564099221</v>
      </c>
      <c r="BG10" s="14" t="n">
        <f aca="false">$B$9*(INDEX($C$6:$CH$6,1,56)-IF(56-Supuestos!$B$20&gt;=1,INDEX($C$6:$CH$6,1,56-Supuestos!$B$20),0))</f>
        <v>74772.0542506906</v>
      </c>
      <c r="BH10" s="14" t="n">
        <f aca="false">$B$9*(INDEX($C$6:$CH$6,1,57)-IF(57-Supuestos!$B$20&gt;=1,INDEX($C$6:$CH$6,1,57-Supuestos!$B$20),0))</f>
        <v>71796.0520914591</v>
      </c>
      <c r="BI10" s="14" t="n">
        <f aca="false">$B$9*(INDEX($C$6:$CH$6,1,58)-IF(58-Supuestos!$B$20&gt;=1,INDEX($C$6:$CH$6,1,58-Supuestos!$B$20),0))</f>
        <v>68820.0499322277</v>
      </c>
      <c r="BJ10" s="14" t="n">
        <f aca="false">$B$9*(INDEX($C$6:$CH$6,1,59)-IF(59-Supuestos!$B$20&gt;=1,INDEX($C$6:$CH$6,1,59-Supuestos!$B$20),0))</f>
        <v>65844.0477729962</v>
      </c>
      <c r="BK10" s="14" t="n">
        <f aca="false">$B$9*(INDEX($C$6:$CH$6,1,60)-IF(60-Supuestos!$B$20&gt;=1,INDEX($C$6:$CH$6,1,60-Supuestos!$B$20),0))</f>
        <v>62868.0456137647</v>
      </c>
      <c r="BL10" s="14" t="n">
        <f aca="false">$B$9*(INDEX($C$6:$CH$6,1,61)-IF(61-Supuestos!$B$20&gt;=1,INDEX($C$6:$CH$6,1,61-Supuestos!$B$20),0))</f>
        <v>59892.0434545333</v>
      </c>
      <c r="BM10" s="14" t="n">
        <f aca="false">$B$9*(INDEX($C$6:$CH$6,1,62)-IF(62-Supuestos!$B$20&gt;=1,INDEX($C$6:$CH$6,1,62-Supuestos!$B$20),0))</f>
        <v>56916.0412953018</v>
      </c>
      <c r="BN10" s="14" t="n">
        <f aca="false">$B$9*(INDEX($C$6:$CH$6,1,63)-IF(63-Supuestos!$B$20&gt;=1,INDEX($C$6:$CH$6,1,63-Supuestos!$B$20),0))</f>
        <v>53940.0391360703</v>
      </c>
      <c r="BO10" s="14" t="n">
        <f aca="false">$B$9*(INDEX($C$6:$CH$6,1,64)-IF(64-Supuestos!$B$20&gt;=1,INDEX($C$6:$CH$6,1,64-Supuestos!$B$20),0))</f>
        <v>50964.0369768389</v>
      </c>
      <c r="BP10" s="14" t="n">
        <f aca="false">$B$9*(INDEX($C$6:$CH$6,1,65)-IF(65-Supuestos!$B$20&gt;=1,INDEX($C$6:$CH$6,1,65-Supuestos!$B$20),0))</f>
        <v>47988.0348176074</v>
      </c>
      <c r="BQ10" s="14" t="n">
        <f aca="false">$B$9*(INDEX($C$6:$CH$6,1,66)-IF(66-Supuestos!$B$20&gt;=1,INDEX($C$6:$CH$6,1,66-Supuestos!$B$20),0))</f>
        <v>45012.0326583759</v>
      </c>
      <c r="BR10" s="14" t="n">
        <f aca="false">$B$9*(INDEX($C$6:$CH$6,1,67)-IF(67-Supuestos!$B$20&gt;=1,INDEX($C$6:$CH$6,1,67-Supuestos!$B$20),0))</f>
        <v>42036.0304991445</v>
      </c>
      <c r="BS10" s="14" t="n">
        <f aca="false">$B$9*(INDEX($C$6:$CH$6,1,68)-IF(68-Supuestos!$B$20&gt;=1,INDEX($C$6:$CH$6,1,68-Supuestos!$B$20),0))</f>
        <v>39060.028339913</v>
      </c>
      <c r="BT10" s="14" t="n">
        <f aca="false">$B$9*(INDEX($C$6:$CH$6,1,69)-IF(69-Supuestos!$B$20&gt;=1,INDEX($C$6:$CH$6,1,69-Supuestos!$B$20),0))</f>
        <v>36084.0261806815</v>
      </c>
      <c r="BU10" s="14" t="n">
        <f aca="false">$B$9*(INDEX($C$6:$CH$6,1,70)-IF(70-Supuestos!$B$20&gt;=1,INDEX($C$6:$CH$6,1,70-Supuestos!$B$20),0))</f>
        <v>33108.0240214501</v>
      </c>
      <c r="BV10" s="14" t="n">
        <f aca="false">$B$9*(INDEX($C$6:$CH$6,1,71)-IF(71-Supuestos!$B$20&gt;=1,INDEX($C$6:$CH$6,1,71-Supuestos!$B$20),0))</f>
        <v>30132.0218622186</v>
      </c>
      <c r="BW10" s="14" t="n">
        <f aca="false">$B$9*(INDEX($C$6:$CH$6,1,72)-IF(72-Supuestos!$B$20&gt;=1,INDEX($C$6:$CH$6,1,72-Supuestos!$B$20),0))</f>
        <v>27156.0197029871</v>
      </c>
      <c r="BX10" s="14" t="n">
        <f aca="false">$B$9*(INDEX($C$6:$CH$6,1,73)-IF(73-Supuestos!$B$20&gt;=1,INDEX($C$6:$CH$6,1,73-Supuestos!$B$20),0))</f>
        <v>24180.0175437557</v>
      </c>
      <c r="BY10" s="14" t="n">
        <f aca="false">$B$9*(INDEX($C$6:$CH$6,1,74)-IF(74-Supuestos!$B$20&gt;=1,INDEX($C$6:$CH$6,1,74-Supuestos!$B$20),0))</f>
        <v>21204.0153845242</v>
      </c>
      <c r="BZ10" s="14" t="n">
        <f aca="false">$B$9*(INDEX($C$6:$CH$6,1,75)-IF(75-Supuestos!$B$20&gt;=1,INDEX($C$6:$CH$6,1,75-Supuestos!$B$20),0))</f>
        <v>18228.0132252927</v>
      </c>
      <c r="CA10" s="14" t="n">
        <f aca="false">$B$9*(INDEX($C$6:$CH$6,1,76)-IF(76-Supuestos!$B$20&gt;=1,INDEX($C$6:$CH$6,1,76-Supuestos!$B$20),0))</f>
        <v>15252.0110660613</v>
      </c>
      <c r="CB10" s="14" t="n">
        <f aca="false">$B$9*(INDEX($C$6:$CH$6,1,77)-IF(77-Supuestos!$B$20&gt;=1,INDEX($C$6:$CH$6,1,77-Supuestos!$B$20),0))</f>
        <v>12276.0089068298</v>
      </c>
      <c r="CC10" s="14" t="n">
        <f aca="false">$B$9*(INDEX($C$6:$CH$6,1,78)-IF(78-Supuestos!$B$20&gt;=1,INDEX($C$6:$CH$6,1,78-Supuestos!$B$20),0))</f>
        <v>9300.00674759833</v>
      </c>
      <c r="CD10" s="14" t="n">
        <f aca="false">$B$9*(INDEX($C$6:$CH$6,1,79)-IF(79-Supuestos!$B$20&gt;=1,INDEX($C$6:$CH$6,1,79-Supuestos!$B$20),0))</f>
        <v>6324.00458836687</v>
      </c>
      <c r="CE10" s="14" t="n">
        <f aca="false">$B$9*(INDEX($C$6:$CH$6,1,80)-IF(80-Supuestos!$B$20&gt;=1,INDEX($C$6:$CH$6,1,80-Supuestos!$B$20),0))</f>
        <v>3348.0024291354</v>
      </c>
      <c r="CF10" s="14" t="n">
        <f aca="false">$B$9*(INDEX($C$6:$CH$6,1,81)-IF(81-Supuestos!$B$20&gt;=1,INDEX($C$6:$CH$6,1,81-Supuestos!$B$20),0))</f>
        <v>372.000269903933</v>
      </c>
      <c r="CG10" s="14" t="n">
        <f aca="false">$B$9*(INDEX($C$6:$CH$6,1,82)-IF(82-Supuestos!$B$20&gt;=1,INDEX($C$6:$CH$6,1,82-Supuestos!$B$20),0))</f>
        <v>0</v>
      </c>
      <c r="CH10" s="14" t="n">
        <f aca="false">$B$9*(INDEX($C$6:$CH$6,1,83)-IF(83-Supuestos!$B$20&gt;=1,INDEX($C$6:$CH$6,1,83-Supuestos!$B$20),0))</f>
        <v>0</v>
      </c>
    </row>
    <row r="11" customFormat="false" ht="15" hidden="false" customHeight="false" outlineLevel="0" collapsed="false">
      <c r="A11" s="6" t="s">
        <v>159</v>
      </c>
      <c r="B11" s="9" t="n">
        <f aca="false">SUM(C11:CH11)</f>
        <v>5242500</v>
      </c>
      <c r="C11" s="22" t="n">
        <f aca="false">IF(C$3=Supuestos!$B$13,Supuestos!$B$6*Supuestos!$B$12,0)</f>
        <v>0</v>
      </c>
      <c r="D11" s="22" t="n">
        <f aca="false">IF(D$3=Supuestos!$B$13,Supuestos!$B$6*Supuestos!$B$12,0)</f>
        <v>0</v>
      </c>
      <c r="E11" s="22" t="n">
        <f aca="false">IF(E$3=Supuestos!$B$13,Supuestos!$B$6*Supuestos!$B$12,0)</f>
        <v>0</v>
      </c>
      <c r="F11" s="22" t="n">
        <f aca="false">IF(F$3=Supuestos!$B$13,Supuestos!$B$6*Supuestos!$B$12,0)</f>
        <v>0</v>
      </c>
      <c r="G11" s="22" t="n">
        <f aca="false">IF(G$3=Supuestos!$B$13,Supuestos!$B$6*Supuestos!$B$12,0)</f>
        <v>0</v>
      </c>
      <c r="H11" s="22" t="n">
        <f aca="false">IF(H$3=Supuestos!$B$13,Supuestos!$B$6*Supuestos!$B$12,0)</f>
        <v>0</v>
      </c>
      <c r="I11" s="22" t="n">
        <f aca="false">IF(I$3=Supuestos!$B$13,Supuestos!$B$6*Supuestos!$B$12,0)</f>
        <v>0</v>
      </c>
      <c r="J11" s="22" t="n">
        <f aca="false">IF(J$3=Supuestos!$B$13,Supuestos!$B$6*Supuestos!$B$12,0)</f>
        <v>0</v>
      </c>
      <c r="K11" s="22" t="n">
        <f aca="false">IF(K$3=Supuestos!$B$13,Supuestos!$B$6*Supuestos!$B$12,0)</f>
        <v>0</v>
      </c>
      <c r="L11" s="22" t="n">
        <f aca="false">IF(L$3=Supuestos!$B$13,Supuestos!$B$6*Supuestos!$B$12,0)</f>
        <v>0</v>
      </c>
      <c r="M11" s="22" t="n">
        <f aca="false">IF(M$3=Supuestos!$B$13,Supuestos!$B$6*Supuestos!$B$12,0)</f>
        <v>0</v>
      </c>
      <c r="N11" s="22" t="n">
        <f aca="false">IF(N$3=Supuestos!$B$13,Supuestos!$B$6*Supuestos!$B$12,0)</f>
        <v>0</v>
      </c>
      <c r="O11" s="22" t="n">
        <f aca="false">IF(O$3=Supuestos!$B$13,Supuestos!$B$6*Supuestos!$B$12,0)</f>
        <v>0</v>
      </c>
      <c r="P11" s="22" t="n">
        <f aca="false">IF(P$3=Supuestos!$B$13,Supuestos!$B$6*Supuestos!$B$12,0)</f>
        <v>0</v>
      </c>
      <c r="Q11" s="22" t="n">
        <f aca="false">IF(Q$3=Supuestos!$B$13,Supuestos!$B$6*Supuestos!$B$12,0)</f>
        <v>0</v>
      </c>
      <c r="R11" s="22" t="n">
        <f aca="false">IF(R$3=Supuestos!$B$13,Supuestos!$B$6*Supuestos!$B$12,0)</f>
        <v>0</v>
      </c>
      <c r="S11" s="22" t="n">
        <f aca="false">IF(S$3=Supuestos!$B$13,Supuestos!$B$6*Supuestos!$B$12,0)</f>
        <v>0</v>
      </c>
      <c r="T11" s="22" t="n">
        <f aca="false">IF(T$3=Supuestos!$B$13,Supuestos!$B$6*Supuestos!$B$12,0)</f>
        <v>5242500</v>
      </c>
      <c r="U11" s="22" t="n">
        <f aca="false">IF(U$3=Supuestos!$B$13,Supuestos!$B$6*Supuestos!$B$12,0)</f>
        <v>0</v>
      </c>
      <c r="V11" s="22" t="n">
        <f aca="false">IF(V$3=Supuestos!$B$13,Supuestos!$B$6*Supuestos!$B$12,0)</f>
        <v>0</v>
      </c>
      <c r="W11" s="22" t="n">
        <f aca="false">IF(W$3=Supuestos!$B$13,Supuestos!$B$6*Supuestos!$B$12,0)</f>
        <v>0</v>
      </c>
      <c r="X11" s="22" t="n">
        <f aca="false">IF(X$3=Supuestos!$B$13,Supuestos!$B$6*Supuestos!$B$12,0)</f>
        <v>0</v>
      </c>
      <c r="Y11" s="22" t="n">
        <f aca="false">IF(Y$3=Supuestos!$B$13,Supuestos!$B$6*Supuestos!$B$12,0)</f>
        <v>0</v>
      </c>
      <c r="Z11" s="22" t="n">
        <f aca="false">IF(Z$3=Supuestos!$B$13,Supuestos!$B$6*Supuestos!$B$12,0)</f>
        <v>0</v>
      </c>
      <c r="AA11" s="22" t="n">
        <f aca="false">IF(AA$3=Supuestos!$B$13,Supuestos!$B$6*Supuestos!$B$12,0)</f>
        <v>0</v>
      </c>
      <c r="AB11" s="22" t="n">
        <f aca="false">IF(AB$3=Supuestos!$B$13,Supuestos!$B$6*Supuestos!$B$12,0)</f>
        <v>0</v>
      </c>
      <c r="AC11" s="22" t="n">
        <f aca="false">IF(AC$3=Supuestos!$B$13,Supuestos!$B$6*Supuestos!$B$12,0)</f>
        <v>0</v>
      </c>
      <c r="AD11" s="22" t="n">
        <f aca="false">IF(AD$3=Supuestos!$B$13,Supuestos!$B$6*Supuestos!$B$12,0)</f>
        <v>0</v>
      </c>
      <c r="AE11" s="22" t="n">
        <f aca="false">IF(AE$3=Supuestos!$B$13,Supuestos!$B$6*Supuestos!$B$12,0)</f>
        <v>0</v>
      </c>
      <c r="AF11" s="22" t="n">
        <f aca="false">IF(AF$3=Supuestos!$B$13,Supuestos!$B$6*Supuestos!$B$12,0)</f>
        <v>0</v>
      </c>
      <c r="AG11" s="22" t="n">
        <f aca="false">IF(AG$3=Supuestos!$B$13,Supuestos!$B$6*Supuestos!$B$12,0)</f>
        <v>0</v>
      </c>
      <c r="AH11" s="22" t="n">
        <f aca="false">IF(AH$3=Supuestos!$B$13,Supuestos!$B$6*Supuestos!$B$12,0)</f>
        <v>0</v>
      </c>
      <c r="AI11" s="22" t="n">
        <f aca="false">IF(AI$3=Supuestos!$B$13,Supuestos!$B$6*Supuestos!$B$12,0)</f>
        <v>0</v>
      </c>
      <c r="AJ11" s="22" t="n">
        <f aca="false">IF(AJ$3=Supuestos!$B$13,Supuestos!$B$6*Supuestos!$B$12,0)</f>
        <v>0</v>
      </c>
      <c r="AK11" s="22" t="n">
        <f aca="false">IF(AK$3=Supuestos!$B$13,Supuestos!$B$6*Supuestos!$B$12,0)</f>
        <v>0</v>
      </c>
      <c r="AL11" s="22" t="n">
        <f aca="false">IF(AL$3=Supuestos!$B$13,Supuestos!$B$6*Supuestos!$B$12,0)</f>
        <v>0</v>
      </c>
      <c r="AM11" s="22" t="n">
        <f aca="false">IF(AM$3=Supuestos!$B$13,Supuestos!$B$6*Supuestos!$B$12,0)</f>
        <v>0</v>
      </c>
      <c r="AN11" s="22" t="n">
        <f aca="false">IF(AN$3=Supuestos!$B$13,Supuestos!$B$6*Supuestos!$B$12,0)</f>
        <v>0</v>
      </c>
      <c r="AO11" s="22" t="n">
        <f aca="false">IF(AO$3=Supuestos!$B$13,Supuestos!$B$6*Supuestos!$B$12,0)</f>
        <v>0</v>
      </c>
      <c r="AP11" s="22" t="n">
        <f aca="false">IF(AP$3=Supuestos!$B$13,Supuestos!$B$6*Supuestos!$B$12,0)</f>
        <v>0</v>
      </c>
      <c r="AQ11" s="22" t="n">
        <f aca="false">IF(AQ$3=Supuestos!$B$13,Supuestos!$B$6*Supuestos!$B$12,0)</f>
        <v>0</v>
      </c>
      <c r="AR11" s="22" t="n">
        <f aca="false">IF(AR$3=Supuestos!$B$13,Supuestos!$B$6*Supuestos!$B$12,0)</f>
        <v>0</v>
      </c>
      <c r="AS11" s="22" t="n">
        <f aca="false">IF(AS$3=Supuestos!$B$13,Supuestos!$B$6*Supuestos!$B$12,0)</f>
        <v>0</v>
      </c>
      <c r="AT11" s="22" t="n">
        <f aca="false">IF(AT$3=Supuestos!$B$13,Supuestos!$B$6*Supuestos!$B$12,0)</f>
        <v>0</v>
      </c>
      <c r="AU11" s="22" t="n">
        <f aca="false">IF(AU$3=Supuestos!$B$13,Supuestos!$B$6*Supuestos!$B$12,0)</f>
        <v>0</v>
      </c>
      <c r="AV11" s="22" t="n">
        <f aca="false">IF(AV$3=Supuestos!$B$13,Supuestos!$B$6*Supuestos!$B$12,0)</f>
        <v>0</v>
      </c>
      <c r="AW11" s="22" t="n">
        <f aca="false">IF(AW$3=Supuestos!$B$13,Supuestos!$B$6*Supuestos!$B$12,0)</f>
        <v>0</v>
      </c>
      <c r="AX11" s="22" t="n">
        <f aca="false">IF(AX$3=Supuestos!$B$13,Supuestos!$B$6*Supuestos!$B$12,0)</f>
        <v>0</v>
      </c>
      <c r="AY11" s="22" t="n">
        <f aca="false">IF(AY$3=Supuestos!$B$13,Supuestos!$B$6*Supuestos!$B$12,0)</f>
        <v>0</v>
      </c>
      <c r="AZ11" s="22" t="n">
        <f aca="false">IF(AZ$3=Supuestos!$B$13,Supuestos!$B$6*Supuestos!$B$12,0)</f>
        <v>0</v>
      </c>
      <c r="BA11" s="22" t="n">
        <f aca="false">IF(BA$3=Supuestos!$B$13,Supuestos!$B$6*Supuestos!$B$12,0)</f>
        <v>0</v>
      </c>
      <c r="BB11" s="22" t="n">
        <f aca="false">IF(BB$3=Supuestos!$B$13,Supuestos!$B$6*Supuestos!$B$12,0)</f>
        <v>0</v>
      </c>
      <c r="BC11" s="22" t="n">
        <f aca="false">IF(BC$3=Supuestos!$B$13,Supuestos!$B$6*Supuestos!$B$12,0)</f>
        <v>0</v>
      </c>
      <c r="BD11" s="22" t="n">
        <f aca="false">IF(BD$3=Supuestos!$B$13,Supuestos!$B$6*Supuestos!$B$12,0)</f>
        <v>0</v>
      </c>
      <c r="BE11" s="22" t="n">
        <f aca="false">IF(BE$3=Supuestos!$B$13,Supuestos!$B$6*Supuestos!$B$12,0)</f>
        <v>0</v>
      </c>
      <c r="BF11" s="22" t="n">
        <f aca="false">IF(BF$3=Supuestos!$B$13,Supuestos!$B$6*Supuestos!$B$12,0)</f>
        <v>0</v>
      </c>
      <c r="BG11" s="22" t="n">
        <f aca="false">IF(BG$3=Supuestos!$B$13,Supuestos!$B$6*Supuestos!$B$12,0)</f>
        <v>0</v>
      </c>
      <c r="BH11" s="22" t="n">
        <f aca="false">IF(BH$3=Supuestos!$B$13,Supuestos!$B$6*Supuestos!$B$12,0)</f>
        <v>0</v>
      </c>
      <c r="BI11" s="22" t="n">
        <f aca="false">IF(BI$3=Supuestos!$B$13,Supuestos!$B$6*Supuestos!$B$12,0)</f>
        <v>0</v>
      </c>
      <c r="BJ11" s="22" t="n">
        <f aca="false">IF(BJ$3=Supuestos!$B$13,Supuestos!$B$6*Supuestos!$B$12,0)</f>
        <v>0</v>
      </c>
      <c r="BK11" s="22" t="n">
        <f aca="false">IF(BK$3=Supuestos!$B$13,Supuestos!$B$6*Supuestos!$B$12,0)</f>
        <v>0</v>
      </c>
      <c r="BL11" s="22" t="n">
        <f aca="false">IF(BL$3=Supuestos!$B$13,Supuestos!$B$6*Supuestos!$B$12,0)</f>
        <v>0</v>
      </c>
      <c r="BM11" s="22" t="n">
        <f aca="false">IF(BM$3=Supuestos!$B$13,Supuestos!$B$6*Supuestos!$B$12,0)</f>
        <v>0</v>
      </c>
      <c r="BN11" s="22" t="n">
        <f aca="false">IF(BN$3=Supuestos!$B$13,Supuestos!$B$6*Supuestos!$B$12,0)</f>
        <v>0</v>
      </c>
      <c r="BO11" s="22" t="n">
        <f aca="false">IF(BO$3=Supuestos!$B$13,Supuestos!$B$6*Supuestos!$B$12,0)</f>
        <v>0</v>
      </c>
      <c r="BP11" s="22" t="n">
        <f aca="false">IF(BP$3=Supuestos!$B$13,Supuestos!$B$6*Supuestos!$B$12,0)</f>
        <v>0</v>
      </c>
      <c r="BQ11" s="22" t="n">
        <f aca="false">IF(BQ$3=Supuestos!$B$13,Supuestos!$B$6*Supuestos!$B$12,0)</f>
        <v>0</v>
      </c>
      <c r="BR11" s="22" t="n">
        <f aca="false">IF(BR$3=Supuestos!$B$13,Supuestos!$B$6*Supuestos!$B$12,0)</f>
        <v>0</v>
      </c>
      <c r="BS11" s="22" t="n">
        <f aca="false">IF(BS$3=Supuestos!$B$13,Supuestos!$B$6*Supuestos!$B$12,0)</f>
        <v>0</v>
      </c>
      <c r="BT11" s="22" t="n">
        <f aca="false">IF(BT$3=Supuestos!$B$13,Supuestos!$B$6*Supuestos!$B$12,0)</f>
        <v>0</v>
      </c>
      <c r="BU11" s="22" t="n">
        <f aca="false">IF(BU$3=Supuestos!$B$13,Supuestos!$B$6*Supuestos!$B$12,0)</f>
        <v>0</v>
      </c>
      <c r="BV11" s="22" t="n">
        <f aca="false">IF(BV$3=Supuestos!$B$13,Supuestos!$B$6*Supuestos!$B$12,0)</f>
        <v>0</v>
      </c>
      <c r="BW11" s="22" t="n">
        <f aca="false">IF(BW$3=Supuestos!$B$13,Supuestos!$B$6*Supuestos!$B$12,0)</f>
        <v>0</v>
      </c>
      <c r="BX11" s="22" t="n">
        <f aca="false">IF(BX$3=Supuestos!$B$13,Supuestos!$B$6*Supuestos!$B$12,0)</f>
        <v>0</v>
      </c>
      <c r="BY11" s="22" t="n">
        <f aca="false">IF(BY$3=Supuestos!$B$13,Supuestos!$B$6*Supuestos!$B$12,0)</f>
        <v>0</v>
      </c>
      <c r="BZ11" s="22" t="n">
        <f aca="false">IF(BZ$3=Supuestos!$B$13,Supuestos!$B$6*Supuestos!$B$12,0)</f>
        <v>0</v>
      </c>
      <c r="CA11" s="22" t="n">
        <f aca="false">IF(CA$3=Supuestos!$B$13,Supuestos!$B$6*Supuestos!$B$12,0)</f>
        <v>0</v>
      </c>
      <c r="CB11" s="22" t="n">
        <f aca="false">IF(CB$3=Supuestos!$B$13,Supuestos!$B$6*Supuestos!$B$12,0)</f>
        <v>0</v>
      </c>
      <c r="CC11" s="22" t="n">
        <f aca="false">IF(CC$3=Supuestos!$B$13,Supuestos!$B$6*Supuestos!$B$12,0)</f>
        <v>0</v>
      </c>
      <c r="CD11" s="22" t="n">
        <f aca="false">IF(CD$3=Supuestos!$B$13,Supuestos!$B$6*Supuestos!$B$12,0)</f>
        <v>0</v>
      </c>
      <c r="CE11" s="22" t="n">
        <f aca="false">IF(CE$3=Supuestos!$B$13,Supuestos!$B$6*Supuestos!$B$12,0)</f>
        <v>0</v>
      </c>
      <c r="CF11" s="22" t="n">
        <f aca="false">IF(CF$3=Supuestos!$B$13,Supuestos!$B$6*Supuestos!$B$12,0)</f>
        <v>0</v>
      </c>
      <c r="CG11" s="22" t="n">
        <f aca="false">IF(CG$3=Supuestos!$B$13,Supuestos!$B$6*Supuestos!$B$12,0)</f>
        <v>0</v>
      </c>
      <c r="CH11" s="22" t="n">
        <f aca="false">IF(CH$3=Supuestos!$B$13,Supuestos!$B$6*Supuestos!$B$12,0)</f>
        <v>0</v>
      </c>
    </row>
    <row r="12" customFormat="false" ht="15" hidden="false" customHeight="false" outlineLevel="0" collapsed="false">
      <c r="A12" s="6" t="s">
        <v>160</v>
      </c>
      <c r="B12" s="9" t="n">
        <f aca="false">SUM(C12:CH12)</f>
        <v>1785000</v>
      </c>
      <c r="C12" s="22" t="n">
        <f aca="false">IF(C$3=Supuestos!$B$16,Supuestos!$B$8*Supuestos!$B$15,0)</f>
        <v>0</v>
      </c>
      <c r="D12" s="22" t="n">
        <f aca="false">IF(D$3=Supuestos!$B$16,Supuestos!$B$8*Supuestos!$B$15,0)</f>
        <v>0</v>
      </c>
      <c r="E12" s="22" t="n">
        <f aca="false">IF(E$3=Supuestos!$B$16,Supuestos!$B$8*Supuestos!$B$15,0)</f>
        <v>0</v>
      </c>
      <c r="F12" s="22" t="n">
        <f aca="false">IF(F$3=Supuestos!$B$16,Supuestos!$B$8*Supuestos!$B$15,0)</f>
        <v>0</v>
      </c>
      <c r="G12" s="22" t="n">
        <f aca="false">IF(G$3=Supuestos!$B$16,Supuestos!$B$8*Supuestos!$B$15,0)</f>
        <v>0</v>
      </c>
      <c r="H12" s="22" t="n">
        <f aca="false">IF(H$3=Supuestos!$B$16,Supuestos!$B$8*Supuestos!$B$15,0)</f>
        <v>0</v>
      </c>
      <c r="I12" s="22" t="n">
        <f aca="false">IF(I$3=Supuestos!$B$16,Supuestos!$B$8*Supuestos!$B$15,0)</f>
        <v>0</v>
      </c>
      <c r="J12" s="22" t="n">
        <f aca="false">IF(J$3=Supuestos!$B$16,Supuestos!$B$8*Supuestos!$B$15,0)</f>
        <v>0</v>
      </c>
      <c r="K12" s="22" t="n">
        <f aca="false">IF(K$3=Supuestos!$B$16,Supuestos!$B$8*Supuestos!$B$15,0)</f>
        <v>0</v>
      </c>
      <c r="L12" s="22" t="n">
        <f aca="false">IF(L$3=Supuestos!$B$16,Supuestos!$B$8*Supuestos!$B$15,0)</f>
        <v>0</v>
      </c>
      <c r="M12" s="22" t="n">
        <f aca="false">IF(M$3=Supuestos!$B$16,Supuestos!$B$8*Supuestos!$B$15,0)</f>
        <v>0</v>
      </c>
      <c r="N12" s="22" t="n">
        <f aca="false">IF(N$3=Supuestos!$B$16,Supuestos!$B$8*Supuestos!$B$15,0)</f>
        <v>0</v>
      </c>
      <c r="O12" s="22" t="n">
        <f aca="false">IF(O$3=Supuestos!$B$16,Supuestos!$B$8*Supuestos!$B$15,0)</f>
        <v>0</v>
      </c>
      <c r="P12" s="22" t="n">
        <f aca="false">IF(P$3=Supuestos!$B$16,Supuestos!$B$8*Supuestos!$B$15,0)</f>
        <v>0</v>
      </c>
      <c r="Q12" s="22" t="n">
        <f aca="false">IF(Q$3=Supuestos!$B$16,Supuestos!$B$8*Supuestos!$B$15,0)</f>
        <v>0</v>
      </c>
      <c r="R12" s="22" t="n">
        <f aca="false">IF(R$3=Supuestos!$B$16,Supuestos!$B$8*Supuestos!$B$15,0)</f>
        <v>0</v>
      </c>
      <c r="S12" s="22" t="n">
        <f aca="false">IF(S$3=Supuestos!$B$16,Supuestos!$B$8*Supuestos!$B$15,0)</f>
        <v>0</v>
      </c>
      <c r="T12" s="22" t="n">
        <f aca="false">IF(T$3=Supuestos!$B$16,Supuestos!$B$8*Supuestos!$B$15,0)</f>
        <v>0</v>
      </c>
      <c r="U12" s="22" t="n">
        <f aca="false">IF(U$3=Supuestos!$B$16,Supuestos!$B$8*Supuestos!$B$15,0)</f>
        <v>0</v>
      </c>
      <c r="V12" s="22" t="n">
        <f aca="false">IF(V$3=Supuestos!$B$16,Supuestos!$B$8*Supuestos!$B$15,0)</f>
        <v>0</v>
      </c>
      <c r="W12" s="22" t="n">
        <f aca="false">IF(W$3=Supuestos!$B$16,Supuestos!$B$8*Supuestos!$B$15,0)</f>
        <v>0</v>
      </c>
      <c r="X12" s="22" t="n">
        <f aca="false">IF(X$3=Supuestos!$B$16,Supuestos!$B$8*Supuestos!$B$15,0)</f>
        <v>0</v>
      </c>
      <c r="Y12" s="22" t="n">
        <f aca="false">IF(Y$3=Supuestos!$B$16,Supuestos!$B$8*Supuestos!$B$15,0)</f>
        <v>0</v>
      </c>
      <c r="Z12" s="22" t="n">
        <f aca="false">IF(Z$3=Supuestos!$B$16,Supuestos!$B$8*Supuestos!$B$15,0)</f>
        <v>1785000</v>
      </c>
      <c r="AA12" s="22" t="n">
        <f aca="false">IF(AA$3=Supuestos!$B$16,Supuestos!$B$8*Supuestos!$B$15,0)</f>
        <v>0</v>
      </c>
      <c r="AB12" s="22" t="n">
        <f aca="false">IF(AB$3=Supuestos!$B$16,Supuestos!$B$8*Supuestos!$B$15,0)</f>
        <v>0</v>
      </c>
      <c r="AC12" s="22" t="n">
        <f aca="false">IF(AC$3=Supuestos!$B$16,Supuestos!$B$8*Supuestos!$B$15,0)</f>
        <v>0</v>
      </c>
      <c r="AD12" s="22" t="n">
        <f aca="false">IF(AD$3=Supuestos!$B$16,Supuestos!$B$8*Supuestos!$B$15,0)</f>
        <v>0</v>
      </c>
      <c r="AE12" s="22" t="n">
        <f aca="false">IF(AE$3=Supuestos!$B$16,Supuestos!$B$8*Supuestos!$B$15,0)</f>
        <v>0</v>
      </c>
      <c r="AF12" s="22" t="n">
        <f aca="false">IF(AF$3=Supuestos!$B$16,Supuestos!$B$8*Supuestos!$B$15,0)</f>
        <v>0</v>
      </c>
      <c r="AG12" s="22" t="n">
        <f aca="false">IF(AG$3=Supuestos!$B$16,Supuestos!$B$8*Supuestos!$B$15,0)</f>
        <v>0</v>
      </c>
      <c r="AH12" s="22" t="n">
        <f aca="false">IF(AH$3=Supuestos!$B$16,Supuestos!$B$8*Supuestos!$B$15,0)</f>
        <v>0</v>
      </c>
      <c r="AI12" s="22" t="n">
        <f aca="false">IF(AI$3=Supuestos!$B$16,Supuestos!$B$8*Supuestos!$B$15,0)</f>
        <v>0</v>
      </c>
      <c r="AJ12" s="22" t="n">
        <f aca="false">IF(AJ$3=Supuestos!$B$16,Supuestos!$B$8*Supuestos!$B$15,0)</f>
        <v>0</v>
      </c>
      <c r="AK12" s="22" t="n">
        <f aca="false">IF(AK$3=Supuestos!$B$16,Supuestos!$B$8*Supuestos!$B$15,0)</f>
        <v>0</v>
      </c>
      <c r="AL12" s="22" t="n">
        <f aca="false">IF(AL$3=Supuestos!$B$16,Supuestos!$B$8*Supuestos!$B$15,0)</f>
        <v>0</v>
      </c>
      <c r="AM12" s="22" t="n">
        <f aca="false">IF(AM$3=Supuestos!$B$16,Supuestos!$B$8*Supuestos!$B$15,0)</f>
        <v>0</v>
      </c>
      <c r="AN12" s="22" t="n">
        <f aca="false">IF(AN$3=Supuestos!$B$16,Supuestos!$B$8*Supuestos!$B$15,0)</f>
        <v>0</v>
      </c>
      <c r="AO12" s="22" t="n">
        <f aca="false">IF(AO$3=Supuestos!$B$16,Supuestos!$B$8*Supuestos!$B$15,0)</f>
        <v>0</v>
      </c>
      <c r="AP12" s="22" t="n">
        <f aca="false">IF(AP$3=Supuestos!$B$16,Supuestos!$B$8*Supuestos!$B$15,0)</f>
        <v>0</v>
      </c>
      <c r="AQ12" s="22" t="n">
        <f aca="false">IF(AQ$3=Supuestos!$B$16,Supuestos!$B$8*Supuestos!$B$15,0)</f>
        <v>0</v>
      </c>
      <c r="AR12" s="22" t="n">
        <f aca="false">IF(AR$3=Supuestos!$B$16,Supuestos!$B$8*Supuestos!$B$15,0)</f>
        <v>0</v>
      </c>
      <c r="AS12" s="22" t="n">
        <f aca="false">IF(AS$3=Supuestos!$B$16,Supuestos!$B$8*Supuestos!$B$15,0)</f>
        <v>0</v>
      </c>
      <c r="AT12" s="22" t="n">
        <f aca="false">IF(AT$3=Supuestos!$B$16,Supuestos!$B$8*Supuestos!$B$15,0)</f>
        <v>0</v>
      </c>
      <c r="AU12" s="22" t="n">
        <f aca="false">IF(AU$3=Supuestos!$B$16,Supuestos!$B$8*Supuestos!$B$15,0)</f>
        <v>0</v>
      </c>
      <c r="AV12" s="22" t="n">
        <f aca="false">IF(AV$3=Supuestos!$B$16,Supuestos!$B$8*Supuestos!$B$15,0)</f>
        <v>0</v>
      </c>
      <c r="AW12" s="22" t="n">
        <f aca="false">IF(AW$3=Supuestos!$B$16,Supuestos!$B$8*Supuestos!$B$15,0)</f>
        <v>0</v>
      </c>
      <c r="AX12" s="22" t="n">
        <f aca="false">IF(AX$3=Supuestos!$B$16,Supuestos!$B$8*Supuestos!$B$15,0)</f>
        <v>0</v>
      </c>
      <c r="AY12" s="22" t="n">
        <f aca="false">IF(AY$3=Supuestos!$B$16,Supuestos!$B$8*Supuestos!$B$15,0)</f>
        <v>0</v>
      </c>
      <c r="AZ12" s="22" t="n">
        <f aca="false">IF(AZ$3=Supuestos!$B$16,Supuestos!$B$8*Supuestos!$B$15,0)</f>
        <v>0</v>
      </c>
      <c r="BA12" s="22" t="n">
        <f aca="false">IF(BA$3=Supuestos!$B$16,Supuestos!$B$8*Supuestos!$B$15,0)</f>
        <v>0</v>
      </c>
      <c r="BB12" s="22" t="n">
        <f aca="false">IF(BB$3=Supuestos!$B$16,Supuestos!$B$8*Supuestos!$B$15,0)</f>
        <v>0</v>
      </c>
      <c r="BC12" s="22" t="n">
        <f aca="false">IF(BC$3=Supuestos!$B$16,Supuestos!$B$8*Supuestos!$B$15,0)</f>
        <v>0</v>
      </c>
      <c r="BD12" s="22" t="n">
        <f aca="false">IF(BD$3=Supuestos!$B$16,Supuestos!$B$8*Supuestos!$B$15,0)</f>
        <v>0</v>
      </c>
      <c r="BE12" s="22" t="n">
        <f aca="false">IF(BE$3=Supuestos!$B$16,Supuestos!$B$8*Supuestos!$B$15,0)</f>
        <v>0</v>
      </c>
      <c r="BF12" s="22" t="n">
        <f aca="false">IF(BF$3=Supuestos!$B$16,Supuestos!$B$8*Supuestos!$B$15,0)</f>
        <v>0</v>
      </c>
      <c r="BG12" s="22" t="n">
        <f aca="false">IF(BG$3=Supuestos!$B$16,Supuestos!$B$8*Supuestos!$B$15,0)</f>
        <v>0</v>
      </c>
      <c r="BH12" s="22" t="n">
        <f aca="false">IF(BH$3=Supuestos!$B$16,Supuestos!$B$8*Supuestos!$B$15,0)</f>
        <v>0</v>
      </c>
      <c r="BI12" s="22" t="n">
        <f aca="false">IF(BI$3=Supuestos!$B$16,Supuestos!$B$8*Supuestos!$B$15,0)</f>
        <v>0</v>
      </c>
      <c r="BJ12" s="22" t="n">
        <f aca="false">IF(BJ$3=Supuestos!$B$16,Supuestos!$B$8*Supuestos!$B$15,0)</f>
        <v>0</v>
      </c>
      <c r="BK12" s="22" t="n">
        <f aca="false">IF(BK$3=Supuestos!$B$16,Supuestos!$B$8*Supuestos!$B$15,0)</f>
        <v>0</v>
      </c>
      <c r="BL12" s="22" t="n">
        <f aca="false">IF(BL$3=Supuestos!$B$16,Supuestos!$B$8*Supuestos!$B$15,0)</f>
        <v>0</v>
      </c>
      <c r="BM12" s="22" t="n">
        <f aca="false">IF(BM$3=Supuestos!$B$16,Supuestos!$B$8*Supuestos!$B$15,0)</f>
        <v>0</v>
      </c>
      <c r="BN12" s="22" t="n">
        <f aca="false">IF(BN$3=Supuestos!$B$16,Supuestos!$B$8*Supuestos!$B$15,0)</f>
        <v>0</v>
      </c>
      <c r="BO12" s="22" t="n">
        <f aca="false">IF(BO$3=Supuestos!$B$16,Supuestos!$B$8*Supuestos!$B$15,0)</f>
        <v>0</v>
      </c>
      <c r="BP12" s="22" t="n">
        <f aca="false">IF(BP$3=Supuestos!$B$16,Supuestos!$B$8*Supuestos!$B$15,0)</f>
        <v>0</v>
      </c>
      <c r="BQ12" s="22" t="n">
        <f aca="false">IF(BQ$3=Supuestos!$B$16,Supuestos!$B$8*Supuestos!$B$15,0)</f>
        <v>0</v>
      </c>
      <c r="BR12" s="22" t="n">
        <f aca="false">IF(BR$3=Supuestos!$B$16,Supuestos!$B$8*Supuestos!$B$15,0)</f>
        <v>0</v>
      </c>
      <c r="BS12" s="22" t="n">
        <f aca="false">IF(BS$3=Supuestos!$B$16,Supuestos!$B$8*Supuestos!$B$15,0)</f>
        <v>0</v>
      </c>
      <c r="BT12" s="22" t="n">
        <f aca="false">IF(BT$3=Supuestos!$B$16,Supuestos!$B$8*Supuestos!$B$15,0)</f>
        <v>0</v>
      </c>
      <c r="BU12" s="22" t="n">
        <f aca="false">IF(BU$3=Supuestos!$B$16,Supuestos!$B$8*Supuestos!$B$15,0)</f>
        <v>0</v>
      </c>
      <c r="BV12" s="22" t="n">
        <f aca="false">IF(BV$3=Supuestos!$B$16,Supuestos!$B$8*Supuestos!$B$15,0)</f>
        <v>0</v>
      </c>
      <c r="BW12" s="22" t="n">
        <f aca="false">IF(BW$3=Supuestos!$B$16,Supuestos!$B$8*Supuestos!$B$15,0)</f>
        <v>0</v>
      </c>
      <c r="BX12" s="22" t="n">
        <f aca="false">IF(BX$3=Supuestos!$B$16,Supuestos!$B$8*Supuestos!$B$15,0)</f>
        <v>0</v>
      </c>
      <c r="BY12" s="22" t="n">
        <f aca="false">IF(BY$3=Supuestos!$B$16,Supuestos!$B$8*Supuestos!$B$15,0)</f>
        <v>0</v>
      </c>
      <c r="BZ12" s="22" t="n">
        <f aca="false">IF(BZ$3=Supuestos!$B$16,Supuestos!$B$8*Supuestos!$B$15,0)</f>
        <v>0</v>
      </c>
      <c r="CA12" s="22" t="n">
        <f aca="false">IF(CA$3=Supuestos!$B$16,Supuestos!$B$8*Supuestos!$B$15,0)</f>
        <v>0</v>
      </c>
      <c r="CB12" s="22" t="n">
        <f aca="false">IF(CB$3=Supuestos!$B$16,Supuestos!$B$8*Supuestos!$B$15,0)</f>
        <v>0</v>
      </c>
      <c r="CC12" s="22" t="n">
        <f aca="false">IF(CC$3=Supuestos!$B$16,Supuestos!$B$8*Supuestos!$B$15,0)</f>
        <v>0</v>
      </c>
      <c r="CD12" s="22" t="n">
        <f aca="false">IF(CD$3=Supuestos!$B$16,Supuestos!$B$8*Supuestos!$B$15,0)</f>
        <v>0</v>
      </c>
      <c r="CE12" s="22" t="n">
        <f aca="false">IF(CE$3=Supuestos!$B$16,Supuestos!$B$8*Supuestos!$B$15,0)</f>
        <v>0</v>
      </c>
      <c r="CF12" s="22" t="n">
        <f aca="false">IF(CF$3=Supuestos!$B$16,Supuestos!$B$8*Supuestos!$B$15,0)</f>
        <v>0</v>
      </c>
      <c r="CG12" s="22" t="n">
        <f aca="false">IF(CG$3=Supuestos!$B$16,Supuestos!$B$8*Supuestos!$B$15,0)</f>
        <v>0</v>
      </c>
      <c r="CH12" s="22" t="n">
        <f aca="false">IF(CH$3=Supuestos!$B$16,Supuestos!$B$8*Supuestos!$B$15,0)</f>
        <v>0</v>
      </c>
    </row>
    <row r="13" customFormat="false" ht="15" hidden="false" customHeight="false" outlineLevel="0" collapsed="false">
      <c r="A13" s="8" t="s">
        <v>161</v>
      </c>
      <c r="B13" s="9" t="n">
        <f aca="false">SUM(C13:CH13)</f>
        <v>12284990.8080805</v>
      </c>
      <c r="C13" s="9" t="n">
        <f aca="false">C8+C10+C11+C12</f>
        <v>0</v>
      </c>
      <c r="D13" s="9" t="n">
        <f aca="false">D8+D10+D11+D12</f>
        <v>0</v>
      </c>
      <c r="E13" s="9" t="n">
        <f aca="false">E8+E10+E11+E12</f>
        <v>0</v>
      </c>
      <c r="F13" s="9" t="n">
        <f aca="false">F8+F10+F11+F12</f>
        <v>0</v>
      </c>
      <c r="G13" s="9" t="n">
        <f aca="false">G8+G10+G11+G12</f>
        <v>0</v>
      </c>
      <c r="H13" s="9" t="n">
        <f aca="false">H8+H10+H11+H12</f>
        <v>0</v>
      </c>
      <c r="I13" s="9" t="n">
        <f aca="false">I8+I10+I11+I12</f>
        <v>0</v>
      </c>
      <c r="J13" s="9" t="n">
        <f aca="false">J8+J10+J11+J12</f>
        <v>0</v>
      </c>
      <c r="K13" s="9" t="n">
        <f aca="false">K8+K10+K11+K12</f>
        <v>0</v>
      </c>
      <c r="L13" s="9" t="n">
        <f aca="false">L8+L10+L11+L12</f>
        <v>38400</v>
      </c>
      <c r="M13" s="9" t="n">
        <f aca="false">M8+M10+M11+M12</f>
        <v>41376.0021592315</v>
      </c>
      <c r="N13" s="9" t="n">
        <f aca="false">N8+N10+N11+N12</f>
        <v>44352.0043184629</v>
      </c>
      <c r="O13" s="9" t="n">
        <f aca="false">O8+O10+O11+O12</f>
        <v>47328.0064776944</v>
      </c>
      <c r="P13" s="9" t="n">
        <f aca="false">P8+P10+P11+P12</f>
        <v>50304.0086369259</v>
      </c>
      <c r="Q13" s="9" t="n">
        <f aca="false">Q8+Q10+Q11+Q12</f>
        <v>53280.0107961573</v>
      </c>
      <c r="R13" s="9" t="n">
        <f aca="false">R8+R10+R11+R12</f>
        <v>56256.0129553888</v>
      </c>
      <c r="S13" s="9" t="n">
        <f aca="false">S8+S10+S11+S12</f>
        <v>59232.0151146203</v>
      </c>
      <c r="T13" s="9" t="n">
        <f aca="false">T8+T10+T11+T12</f>
        <v>5304708.01727385</v>
      </c>
      <c r="U13" s="9" t="n">
        <f aca="false">U8+U10+U11+U12</f>
        <v>65184.0194330832</v>
      </c>
      <c r="V13" s="9" t="n">
        <f aca="false">V8+V10+V11+V12</f>
        <v>68160.0215923147</v>
      </c>
      <c r="W13" s="9" t="n">
        <f aca="false">W8+W10+W11+W12</f>
        <v>71136.0237515461</v>
      </c>
      <c r="X13" s="9" t="n">
        <f aca="false">X8+X10+X11+X12</f>
        <v>74112.0259107776</v>
      </c>
      <c r="Y13" s="9" t="n">
        <f aca="false">Y8+Y10+Y11+Y12</f>
        <v>77088.0280700091</v>
      </c>
      <c r="Z13" s="9" t="n">
        <f aca="false">Z8+Z10+Z11+Z12</f>
        <v>1865064.03022924</v>
      </c>
      <c r="AA13" s="9" t="n">
        <f aca="false">AA8+AA10+AA11+AA12</f>
        <v>83040.032388472</v>
      </c>
      <c r="AB13" s="9" t="n">
        <f aca="false">AB8+AB10+AB11+AB12</f>
        <v>86016.0345477035</v>
      </c>
      <c r="AC13" s="9" t="n">
        <f aca="false">AC8+AC10+AC11+AC12</f>
        <v>88992.0367069349</v>
      </c>
      <c r="AD13" s="9" t="n">
        <f aca="false">AD8+AD10+AD11+AD12</f>
        <v>91968.0388661664</v>
      </c>
      <c r="AE13" s="9" t="n">
        <f aca="false">AE8+AE10+AE11+AE12</f>
        <v>94944.0410253979</v>
      </c>
      <c r="AF13" s="9" t="n">
        <f aca="false">AF8+AF10+AF11+AF12</f>
        <v>97920.0431846293</v>
      </c>
      <c r="AG13" s="9" t="n">
        <f aca="false">AG8+AG10+AG11+AG12</f>
        <v>100896.045343861</v>
      </c>
      <c r="AH13" s="9" t="n">
        <f aca="false">AH8+AH10+AH11+AH12</f>
        <v>103872.047503092</v>
      </c>
      <c r="AI13" s="9" t="n">
        <f aca="false">AI8+AI10+AI11+AI12</f>
        <v>106848.049662324</v>
      </c>
      <c r="AJ13" s="9" t="n">
        <f aca="false">AJ8+AJ10+AJ11+AJ12</f>
        <v>109824.051821555</v>
      </c>
      <c r="AK13" s="9" t="n">
        <f aca="false">AK8+AK10+AK11+AK12</f>
        <v>112800.053980787</v>
      </c>
      <c r="AL13" s="9" t="n">
        <f aca="false">AL8+AL10+AL11+AL12</f>
        <v>115776.056140018</v>
      </c>
      <c r="AM13" s="9" t="n">
        <f aca="false">AM8+AM10+AM11+AM12</f>
        <v>118752.05829925</v>
      </c>
      <c r="AN13" s="9" t="n">
        <f aca="false">AN8+AN10+AN11+AN12</f>
        <v>121728.060458481</v>
      </c>
      <c r="AO13" s="9" t="n">
        <f aca="false">AO8+AO10+AO11+AO12</f>
        <v>124704.062617713</v>
      </c>
      <c r="AP13" s="9" t="n">
        <f aca="false">AP8+AP10+AP11+AP12</f>
        <v>127680.064776944</v>
      </c>
      <c r="AQ13" s="9" t="n">
        <f aca="false">AQ8+AQ10+AQ11+AQ12</f>
        <v>130656.066936175</v>
      </c>
      <c r="AR13" s="9" t="n">
        <f aca="false">AR8+AR10+AR11+AR12</f>
        <v>133632.069095407</v>
      </c>
      <c r="AS13" s="9" t="n">
        <f aca="false">AS8+AS10+AS11+AS12</f>
        <v>136608.071254638</v>
      </c>
      <c r="AT13" s="9" t="n">
        <f aca="false">AT8+AT10+AT11+AT12</f>
        <v>139584.07341387</v>
      </c>
      <c r="AU13" s="9" t="n">
        <f aca="false">AU8+AU10+AU11+AU12</f>
        <v>142560.075573101</v>
      </c>
      <c r="AV13" s="9" t="n">
        <f aca="false">AV8+AV10+AV11+AV12</f>
        <v>111936.077732333</v>
      </c>
      <c r="AW13" s="9" t="n">
        <f aca="false">AW8+AW10+AW11+AW12</f>
        <v>104532.075843005</v>
      </c>
      <c r="AX13" s="9" t="n">
        <f aca="false">AX8+AX10+AX11+AX12</f>
        <v>101556.073683774</v>
      </c>
      <c r="AY13" s="9" t="n">
        <f aca="false">AY8+AY10+AY11+AY12</f>
        <v>98580.0715245423</v>
      </c>
      <c r="AZ13" s="9" t="n">
        <f aca="false">AZ8+AZ10+AZ11+AZ12</f>
        <v>95604.0693653109</v>
      </c>
      <c r="BA13" s="9" t="n">
        <f aca="false">BA8+BA10+BA11+BA12</f>
        <v>92628.0672060794</v>
      </c>
      <c r="BB13" s="9" t="n">
        <f aca="false">BB8+BB10+BB11+BB12</f>
        <v>89652.0650468479</v>
      </c>
      <c r="BC13" s="9" t="n">
        <f aca="false">BC8+BC10+BC11+BC12</f>
        <v>86676.0628876165</v>
      </c>
      <c r="BD13" s="9" t="n">
        <f aca="false">BD8+BD10+BD11+BD12</f>
        <v>83700.060728385</v>
      </c>
      <c r="BE13" s="9" t="n">
        <f aca="false">BE8+BE10+BE11+BE12</f>
        <v>80724.0585691535</v>
      </c>
      <c r="BF13" s="9" t="n">
        <f aca="false">BF8+BF10+BF11+BF12</f>
        <v>77748.0564099221</v>
      </c>
      <c r="BG13" s="9" t="n">
        <f aca="false">BG8+BG10+BG11+BG12</f>
        <v>74772.0542506906</v>
      </c>
      <c r="BH13" s="9" t="n">
        <f aca="false">BH8+BH10+BH11+BH12</f>
        <v>71796.0520914591</v>
      </c>
      <c r="BI13" s="9" t="n">
        <f aca="false">BI8+BI10+BI11+BI12</f>
        <v>68820.0499322277</v>
      </c>
      <c r="BJ13" s="9" t="n">
        <f aca="false">BJ8+BJ10+BJ11+BJ12</f>
        <v>65844.0477729962</v>
      </c>
      <c r="BK13" s="9" t="n">
        <f aca="false">BK8+BK10+BK11+BK12</f>
        <v>62868.0456137647</v>
      </c>
      <c r="BL13" s="9" t="n">
        <f aca="false">BL8+BL10+BL11+BL12</f>
        <v>59892.0434545333</v>
      </c>
      <c r="BM13" s="9" t="n">
        <f aca="false">BM8+BM10+BM11+BM12</f>
        <v>56916.0412953018</v>
      </c>
      <c r="BN13" s="9" t="n">
        <f aca="false">BN8+BN10+BN11+BN12</f>
        <v>53940.0391360703</v>
      </c>
      <c r="BO13" s="9" t="n">
        <f aca="false">BO8+BO10+BO11+BO12</f>
        <v>50964.0369768389</v>
      </c>
      <c r="BP13" s="9" t="n">
        <f aca="false">BP8+BP10+BP11+BP12</f>
        <v>47988.0348176074</v>
      </c>
      <c r="BQ13" s="9" t="n">
        <f aca="false">BQ8+BQ10+BQ11+BQ12</f>
        <v>45012.0326583759</v>
      </c>
      <c r="BR13" s="9" t="n">
        <f aca="false">BR8+BR10+BR11+BR12</f>
        <v>42036.0304991445</v>
      </c>
      <c r="BS13" s="9" t="n">
        <f aca="false">BS8+BS10+BS11+BS12</f>
        <v>39060.028339913</v>
      </c>
      <c r="BT13" s="9" t="n">
        <f aca="false">BT8+BT10+BT11+BT12</f>
        <v>36084.0261806815</v>
      </c>
      <c r="BU13" s="9" t="n">
        <f aca="false">BU8+BU10+BU11+BU12</f>
        <v>33108.0240214501</v>
      </c>
      <c r="BV13" s="9" t="n">
        <f aca="false">BV8+BV10+BV11+BV12</f>
        <v>30132.0218622186</v>
      </c>
      <c r="BW13" s="9" t="n">
        <f aca="false">BW8+BW10+BW11+BW12</f>
        <v>27156.0197029871</v>
      </c>
      <c r="BX13" s="9" t="n">
        <f aca="false">BX8+BX10+BX11+BX12</f>
        <v>24180.0175437557</v>
      </c>
      <c r="BY13" s="9" t="n">
        <f aca="false">BY8+BY10+BY11+BY12</f>
        <v>21204.0153845242</v>
      </c>
      <c r="BZ13" s="9" t="n">
        <f aca="false">BZ8+BZ10+BZ11+BZ12</f>
        <v>18228.0132252927</v>
      </c>
      <c r="CA13" s="9" t="n">
        <f aca="false">CA8+CA10+CA11+CA12</f>
        <v>15252.0110660613</v>
      </c>
      <c r="CB13" s="9" t="n">
        <f aca="false">CB8+CB10+CB11+CB12</f>
        <v>12276.0089068298</v>
      </c>
      <c r="CC13" s="9" t="n">
        <f aca="false">CC8+CC10+CC11+CC12</f>
        <v>9300.00674759833</v>
      </c>
      <c r="CD13" s="9" t="n">
        <f aca="false">CD8+CD10+CD11+CD12</f>
        <v>6324.00458836687</v>
      </c>
      <c r="CE13" s="9" t="n">
        <f aca="false">CE8+CE10+CE11+CE12</f>
        <v>3348.0024291354</v>
      </c>
      <c r="CF13" s="9" t="n">
        <f aca="false">CF8+CF10+CF11+CF12</f>
        <v>372.000269903933</v>
      </c>
      <c r="CG13" s="9" t="n">
        <f aca="false">CG8+CG10+CG11+CG12</f>
        <v>0</v>
      </c>
      <c r="CH13" s="9" t="n">
        <f aca="false">CH8+CH10+CH11+CH12</f>
        <v>0</v>
      </c>
    </row>
    <row r="14" customFormat="false" ht="15" hidden="false" customHeight="false" outlineLevel="0" collapsed="false">
      <c r="A14" s="6" t="s">
        <v>162</v>
      </c>
      <c r="B14" s="9" t="n">
        <f aca="false">SUM(C14:CH14)</f>
        <v>11651500</v>
      </c>
      <c r="C14" s="22" t="n">
        <f aca="false">C7+C11+C12</f>
        <v>0</v>
      </c>
      <c r="D14" s="22" t="n">
        <f aca="false">D7+D11+D12</f>
        <v>0</v>
      </c>
      <c r="E14" s="22" t="n">
        <f aca="false">E7+E11+E12</f>
        <v>0</v>
      </c>
      <c r="F14" s="22" t="n">
        <f aca="false">F7+F11+F12</f>
        <v>0</v>
      </c>
      <c r="G14" s="22" t="n">
        <f aca="false">G7+G11+G12</f>
        <v>0</v>
      </c>
      <c r="H14" s="22" t="n">
        <f aca="false">H7+H11+H12</f>
        <v>0</v>
      </c>
      <c r="I14" s="22" t="n">
        <f aca="false">I7+I11+I12</f>
        <v>0</v>
      </c>
      <c r="J14" s="22" t="n">
        <f aca="false">J7+J11+J12</f>
        <v>0</v>
      </c>
      <c r="K14" s="22" t="n">
        <f aca="false">K7+K11+K12</f>
        <v>0</v>
      </c>
      <c r="L14" s="22" t="n">
        <f aca="false">L7+L11+L12</f>
        <v>128000</v>
      </c>
      <c r="M14" s="22" t="n">
        <f aca="false">M7+M11+M12</f>
        <v>128000</v>
      </c>
      <c r="N14" s="22" t="n">
        <f aca="false">N7+N11+N12</f>
        <v>128000</v>
      </c>
      <c r="O14" s="22" t="n">
        <f aca="false">O7+O11+O12</f>
        <v>128000</v>
      </c>
      <c r="P14" s="22" t="n">
        <f aca="false">P7+P11+P12</f>
        <v>128000</v>
      </c>
      <c r="Q14" s="22" t="n">
        <f aca="false">Q7+Q11+Q12</f>
        <v>128000</v>
      </c>
      <c r="R14" s="22" t="n">
        <f aca="false">R7+R11+R12</f>
        <v>128000</v>
      </c>
      <c r="S14" s="22" t="n">
        <f aca="false">S7+S11+S12</f>
        <v>128000</v>
      </c>
      <c r="T14" s="22" t="n">
        <f aca="false">T7+T11+T12</f>
        <v>5370500</v>
      </c>
      <c r="U14" s="22" t="n">
        <f aca="false">U7+U11+U12</f>
        <v>128000</v>
      </c>
      <c r="V14" s="22" t="n">
        <f aca="false">V7+V11+V12</f>
        <v>128000</v>
      </c>
      <c r="W14" s="22" t="n">
        <f aca="false">W7+W11+W12</f>
        <v>128000</v>
      </c>
      <c r="X14" s="22" t="n">
        <f aca="false">X7+X11+X12</f>
        <v>128000</v>
      </c>
      <c r="Y14" s="22" t="n">
        <f aca="false">Y7+Y11+Y12</f>
        <v>128000</v>
      </c>
      <c r="Z14" s="22" t="n">
        <f aca="false">Z7+Z11+Z12</f>
        <v>1913000</v>
      </c>
      <c r="AA14" s="22" t="n">
        <f aca="false">AA7+AA11+AA12</f>
        <v>128000</v>
      </c>
      <c r="AB14" s="22" t="n">
        <f aca="false">AB7+AB11+AB12</f>
        <v>128000</v>
      </c>
      <c r="AC14" s="22" t="n">
        <f aca="false">AC7+AC11+AC12</f>
        <v>128000</v>
      </c>
      <c r="AD14" s="22" t="n">
        <f aca="false">AD7+AD11+AD12</f>
        <v>128000</v>
      </c>
      <c r="AE14" s="22" t="n">
        <f aca="false">AE7+AE11+AE12</f>
        <v>128000</v>
      </c>
      <c r="AF14" s="22" t="n">
        <f aca="false">AF7+AF11+AF12</f>
        <v>128000</v>
      </c>
      <c r="AG14" s="22" t="n">
        <f aca="false">AG7+AG11+AG12</f>
        <v>128000</v>
      </c>
      <c r="AH14" s="22" t="n">
        <f aca="false">AH7+AH11+AH12</f>
        <v>128000</v>
      </c>
      <c r="AI14" s="22" t="n">
        <f aca="false">AI7+AI11+AI12</f>
        <v>128000</v>
      </c>
      <c r="AJ14" s="22" t="n">
        <f aca="false">AJ7+AJ11+AJ12</f>
        <v>128000</v>
      </c>
      <c r="AK14" s="22" t="n">
        <f aca="false">AK7+AK11+AK12</f>
        <v>128000</v>
      </c>
      <c r="AL14" s="22" t="n">
        <f aca="false">AL7+AL11+AL12</f>
        <v>128000</v>
      </c>
      <c r="AM14" s="22" t="n">
        <f aca="false">AM7+AM11+AM12</f>
        <v>128000</v>
      </c>
      <c r="AN14" s="22" t="n">
        <f aca="false">AN7+AN11+AN12</f>
        <v>128000</v>
      </c>
      <c r="AO14" s="22" t="n">
        <f aca="false">AO7+AO11+AO12</f>
        <v>128000</v>
      </c>
      <c r="AP14" s="22" t="n">
        <f aca="false">AP7+AP11+AP12</f>
        <v>128000</v>
      </c>
      <c r="AQ14" s="22" t="n">
        <f aca="false">AQ7+AQ11+AQ12</f>
        <v>128000</v>
      </c>
      <c r="AR14" s="22" t="n">
        <f aca="false">AR7+AR11+AR12</f>
        <v>128000</v>
      </c>
      <c r="AS14" s="22" t="n">
        <f aca="false">AS7+AS11+AS12</f>
        <v>128000</v>
      </c>
      <c r="AT14" s="22" t="n">
        <f aca="false">AT7+AT11+AT12</f>
        <v>128000</v>
      </c>
      <c r="AU14" s="22" t="n">
        <f aca="false">AU7+AU11+AU12</f>
        <v>128000</v>
      </c>
      <c r="AV14" s="22" t="n">
        <f aca="false">AV7+AV11+AV12</f>
        <v>16000</v>
      </c>
      <c r="AW14" s="22" t="n">
        <f aca="false">AW7+AW11+AW12</f>
        <v>0</v>
      </c>
      <c r="AX14" s="22" t="n">
        <f aca="false">AX7+AX11+AX12</f>
        <v>0</v>
      </c>
      <c r="AY14" s="22" t="n">
        <f aca="false">AY7+AY11+AY12</f>
        <v>0</v>
      </c>
      <c r="AZ14" s="22" t="n">
        <f aca="false">AZ7+AZ11+AZ12</f>
        <v>0</v>
      </c>
      <c r="BA14" s="22" t="n">
        <f aca="false">BA7+BA11+BA12</f>
        <v>0</v>
      </c>
      <c r="BB14" s="22" t="n">
        <f aca="false">BB7+BB11+BB12</f>
        <v>0</v>
      </c>
      <c r="BC14" s="22" t="n">
        <f aca="false">BC7+BC11+BC12</f>
        <v>0</v>
      </c>
      <c r="BD14" s="22" t="n">
        <f aca="false">BD7+BD11+BD12</f>
        <v>0</v>
      </c>
      <c r="BE14" s="22" t="n">
        <f aca="false">BE7+BE11+BE12</f>
        <v>0</v>
      </c>
      <c r="BF14" s="22" t="n">
        <f aca="false">BF7+BF11+BF12</f>
        <v>0</v>
      </c>
      <c r="BG14" s="22" t="n">
        <f aca="false">BG7+BG11+BG12</f>
        <v>0</v>
      </c>
      <c r="BH14" s="22" t="n">
        <f aca="false">BH7+BH11+BH12</f>
        <v>0</v>
      </c>
      <c r="BI14" s="22" t="n">
        <f aca="false">BI7+BI11+BI12</f>
        <v>0</v>
      </c>
      <c r="BJ14" s="22" t="n">
        <f aca="false">BJ7+BJ11+BJ12</f>
        <v>0</v>
      </c>
      <c r="BK14" s="22" t="n">
        <f aca="false">BK7+BK11+BK12</f>
        <v>0</v>
      </c>
      <c r="BL14" s="22" t="n">
        <f aca="false">BL7+BL11+BL12</f>
        <v>0</v>
      </c>
      <c r="BM14" s="22" t="n">
        <f aca="false">BM7+BM11+BM12</f>
        <v>0</v>
      </c>
      <c r="BN14" s="22" t="n">
        <f aca="false">BN7+BN11+BN12</f>
        <v>0</v>
      </c>
      <c r="BO14" s="22" t="n">
        <f aca="false">BO7+BO11+BO12</f>
        <v>0</v>
      </c>
      <c r="BP14" s="22" t="n">
        <f aca="false">BP7+BP11+BP12</f>
        <v>0</v>
      </c>
      <c r="BQ14" s="22" t="n">
        <f aca="false">BQ7+BQ11+BQ12</f>
        <v>0</v>
      </c>
      <c r="BR14" s="22" t="n">
        <f aca="false">BR7+BR11+BR12</f>
        <v>0</v>
      </c>
      <c r="BS14" s="22" t="n">
        <f aca="false">BS7+BS11+BS12</f>
        <v>0</v>
      </c>
      <c r="BT14" s="22" t="n">
        <f aca="false">BT7+BT11+BT12</f>
        <v>0</v>
      </c>
      <c r="BU14" s="22" t="n">
        <f aca="false">BU7+BU11+BU12</f>
        <v>0</v>
      </c>
      <c r="BV14" s="22" t="n">
        <f aca="false">BV7+BV11+BV12</f>
        <v>0</v>
      </c>
      <c r="BW14" s="22" t="n">
        <f aca="false">BW7+BW11+BW12</f>
        <v>0</v>
      </c>
      <c r="BX14" s="22" t="n">
        <f aca="false">BX7+BX11+BX12</f>
        <v>0</v>
      </c>
      <c r="BY14" s="22" t="n">
        <f aca="false">BY7+BY11+BY12</f>
        <v>0</v>
      </c>
      <c r="BZ14" s="22" t="n">
        <f aca="false">BZ7+BZ11+BZ12</f>
        <v>0</v>
      </c>
      <c r="CA14" s="22" t="n">
        <f aca="false">CA7+CA11+CA12</f>
        <v>0</v>
      </c>
      <c r="CB14" s="22" t="n">
        <f aca="false">CB7+CB11+CB12</f>
        <v>0</v>
      </c>
      <c r="CC14" s="22" t="n">
        <f aca="false">CC7+CC11+CC12</f>
        <v>0</v>
      </c>
      <c r="CD14" s="22" t="n">
        <f aca="false">CD7+CD11+CD12</f>
        <v>0</v>
      </c>
      <c r="CE14" s="22" t="n">
        <f aca="false">CE7+CE11+CE12</f>
        <v>0</v>
      </c>
      <c r="CF14" s="22" t="n">
        <f aca="false">CF7+CF11+CF12</f>
        <v>0</v>
      </c>
      <c r="CG14" s="22" t="n">
        <f aca="false">CG7+CG11+CG12</f>
        <v>0</v>
      </c>
      <c r="CH14" s="22" t="n">
        <f aca="false">CH7+CH11+CH12</f>
        <v>0</v>
      </c>
    </row>
    <row r="15" customFormat="false" ht="15" hidden="false" customHeight="fals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customFormat="false" ht="15" hidden="false" customHeight="false" outlineLevel="0" collapsed="false">
      <c r="A16" s="6" t="s">
        <v>7</v>
      </c>
      <c r="B16" s="9" t="n">
        <f aca="false">SUM(C16:CH16)</f>
        <v>450000</v>
      </c>
      <c r="C16" s="22" t="n">
        <f aca="false">IF(C$3&lt;=Supuestos!$B$24,Supuestos!$B$23/Supuestos!$B$24,0)</f>
        <v>75000</v>
      </c>
      <c r="D16" s="22" t="n">
        <f aca="false">IF(D$3&lt;=Supuestos!$B$24,Supuestos!$B$23/Supuestos!$B$24,0)</f>
        <v>75000</v>
      </c>
      <c r="E16" s="22" t="n">
        <f aca="false">IF(E$3&lt;=Supuestos!$B$24,Supuestos!$B$23/Supuestos!$B$24,0)</f>
        <v>75000</v>
      </c>
      <c r="F16" s="22" t="n">
        <f aca="false">IF(F$3&lt;=Supuestos!$B$24,Supuestos!$B$23/Supuestos!$B$24,0)</f>
        <v>75000</v>
      </c>
      <c r="G16" s="22" t="n">
        <f aca="false">IF(G$3&lt;=Supuestos!$B$24,Supuestos!$B$23/Supuestos!$B$24,0)</f>
        <v>75000</v>
      </c>
      <c r="H16" s="22" t="n">
        <f aca="false">IF(H$3&lt;=Supuestos!$B$24,Supuestos!$B$23/Supuestos!$B$24,0)</f>
        <v>75000</v>
      </c>
      <c r="I16" s="22" t="n">
        <f aca="false">IF(I$3&lt;=Supuestos!$B$24,Supuestos!$B$23/Supuestos!$B$24,0)</f>
        <v>0</v>
      </c>
      <c r="J16" s="22" t="n">
        <f aca="false">IF(J$3&lt;=Supuestos!$B$24,Supuestos!$B$23/Supuestos!$B$24,0)</f>
        <v>0</v>
      </c>
      <c r="K16" s="22" t="n">
        <f aca="false">IF(K$3&lt;=Supuestos!$B$24,Supuestos!$B$23/Supuestos!$B$24,0)</f>
        <v>0</v>
      </c>
      <c r="L16" s="22" t="n">
        <f aca="false">IF(L$3&lt;=Supuestos!$B$24,Supuestos!$B$23/Supuestos!$B$24,0)</f>
        <v>0</v>
      </c>
      <c r="M16" s="22" t="n">
        <f aca="false">IF(M$3&lt;=Supuestos!$B$24,Supuestos!$B$23/Supuestos!$B$24,0)</f>
        <v>0</v>
      </c>
      <c r="N16" s="22" t="n">
        <f aca="false">IF(N$3&lt;=Supuestos!$B$24,Supuestos!$B$23/Supuestos!$B$24,0)</f>
        <v>0</v>
      </c>
      <c r="O16" s="22" t="n">
        <f aca="false">IF(O$3&lt;=Supuestos!$B$24,Supuestos!$B$23/Supuestos!$B$24,0)</f>
        <v>0</v>
      </c>
      <c r="P16" s="22" t="n">
        <f aca="false">IF(P$3&lt;=Supuestos!$B$24,Supuestos!$B$23/Supuestos!$B$24,0)</f>
        <v>0</v>
      </c>
      <c r="Q16" s="22" t="n">
        <f aca="false">IF(Q$3&lt;=Supuestos!$B$24,Supuestos!$B$23/Supuestos!$B$24,0)</f>
        <v>0</v>
      </c>
      <c r="R16" s="22" t="n">
        <f aca="false">IF(R$3&lt;=Supuestos!$B$24,Supuestos!$B$23/Supuestos!$B$24,0)</f>
        <v>0</v>
      </c>
      <c r="S16" s="22" t="n">
        <f aca="false">IF(S$3&lt;=Supuestos!$B$24,Supuestos!$B$23/Supuestos!$B$24,0)</f>
        <v>0</v>
      </c>
      <c r="T16" s="22" t="n">
        <f aca="false">IF(T$3&lt;=Supuestos!$B$24,Supuestos!$B$23/Supuestos!$B$24,0)</f>
        <v>0</v>
      </c>
      <c r="U16" s="22" t="n">
        <f aca="false">IF(U$3&lt;=Supuestos!$B$24,Supuestos!$B$23/Supuestos!$B$24,0)</f>
        <v>0</v>
      </c>
      <c r="V16" s="22" t="n">
        <f aca="false">IF(V$3&lt;=Supuestos!$B$24,Supuestos!$B$23/Supuestos!$B$24,0)</f>
        <v>0</v>
      </c>
      <c r="W16" s="22" t="n">
        <f aca="false">IF(W$3&lt;=Supuestos!$B$24,Supuestos!$B$23/Supuestos!$B$24,0)</f>
        <v>0</v>
      </c>
      <c r="X16" s="22" t="n">
        <f aca="false">IF(X$3&lt;=Supuestos!$B$24,Supuestos!$B$23/Supuestos!$B$24,0)</f>
        <v>0</v>
      </c>
      <c r="Y16" s="22" t="n">
        <f aca="false">IF(Y$3&lt;=Supuestos!$B$24,Supuestos!$B$23/Supuestos!$B$24,0)</f>
        <v>0</v>
      </c>
      <c r="Z16" s="22" t="n">
        <f aca="false">IF(Z$3&lt;=Supuestos!$B$24,Supuestos!$B$23/Supuestos!$B$24,0)</f>
        <v>0</v>
      </c>
      <c r="AA16" s="22" t="n">
        <f aca="false">IF(AA$3&lt;=Supuestos!$B$24,Supuestos!$B$23/Supuestos!$B$24,0)</f>
        <v>0</v>
      </c>
      <c r="AB16" s="22" t="n">
        <f aca="false">IF(AB$3&lt;=Supuestos!$B$24,Supuestos!$B$23/Supuestos!$B$24,0)</f>
        <v>0</v>
      </c>
      <c r="AC16" s="22" t="n">
        <f aca="false">IF(AC$3&lt;=Supuestos!$B$24,Supuestos!$B$23/Supuestos!$B$24,0)</f>
        <v>0</v>
      </c>
      <c r="AD16" s="22" t="n">
        <f aca="false">IF(AD$3&lt;=Supuestos!$B$24,Supuestos!$B$23/Supuestos!$B$24,0)</f>
        <v>0</v>
      </c>
      <c r="AE16" s="22" t="n">
        <f aca="false">IF(AE$3&lt;=Supuestos!$B$24,Supuestos!$B$23/Supuestos!$B$24,0)</f>
        <v>0</v>
      </c>
      <c r="AF16" s="22" t="n">
        <f aca="false">IF(AF$3&lt;=Supuestos!$B$24,Supuestos!$B$23/Supuestos!$B$24,0)</f>
        <v>0</v>
      </c>
      <c r="AG16" s="22" t="n">
        <f aca="false">IF(AG$3&lt;=Supuestos!$B$24,Supuestos!$B$23/Supuestos!$B$24,0)</f>
        <v>0</v>
      </c>
      <c r="AH16" s="22" t="n">
        <f aca="false">IF(AH$3&lt;=Supuestos!$B$24,Supuestos!$B$23/Supuestos!$B$24,0)</f>
        <v>0</v>
      </c>
      <c r="AI16" s="22" t="n">
        <f aca="false">IF(AI$3&lt;=Supuestos!$B$24,Supuestos!$B$23/Supuestos!$B$24,0)</f>
        <v>0</v>
      </c>
      <c r="AJ16" s="22" t="n">
        <f aca="false">IF(AJ$3&lt;=Supuestos!$B$24,Supuestos!$B$23/Supuestos!$B$24,0)</f>
        <v>0</v>
      </c>
      <c r="AK16" s="22" t="n">
        <f aca="false">IF(AK$3&lt;=Supuestos!$B$24,Supuestos!$B$23/Supuestos!$B$24,0)</f>
        <v>0</v>
      </c>
      <c r="AL16" s="22" t="n">
        <f aca="false">IF(AL$3&lt;=Supuestos!$B$24,Supuestos!$B$23/Supuestos!$B$24,0)</f>
        <v>0</v>
      </c>
      <c r="AM16" s="22" t="n">
        <f aca="false">IF(AM$3&lt;=Supuestos!$B$24,Supuestos!$B$23/Supuestos!$B$24,0)</f>
        <v>0</v>
      </c>
      <c r="AN16" s="22" t="n">
        <f aca="false">IF(AN$3&lt;=Supuestos!$B$24,Supuestos!$B$23/Supuestos!$B$24,0)</f>
        <v>0</v>
      </c>
      <c r="AO16" s="22" t="n">
        <f aca="false">IF(AO$3&lt;=Supuestos!$B$24,Supuestos!$B$23/Supuestos!$B$24,0)</f>
        <v>0</v>
      </c>
      <c r="AP16" s="22" t="n">
        <f aca="false">IF(AP$3&lt;=Supuestos!$B$24,Supuestos!$B$23/Supuestos!$B$24,0)</f>
        <v>0</v>
      </c>
      <c r="AQ16" s="22" t="n">
        <f aca="false">IF(AQ$3&lt;=Supuestos!$B$24,Supuestos!$B$23/Supuestos!$B$24,0)</f>
        <v>0</v>
      </c>
      <c r="AR16" s="22" t="n">
        <f aca="false">IF(AR$3&lt;=Supuestos!$B$24,Supuestos!$B$23/Supuestos!$B$24,0)</f>
        <v>0</v>
      </c>
      <c r="AS16" s="22" t="n">
        <f aca="false">IF(AS$3&lt;=Supuestos!$B$24,Supuestos!$B$23/Supuestos!$B$24,0)</f>
        <v>0</v>
      </c>
      <c r="AT16" s="22" t="n">
        <f aca="false">IF(AT$3&lt;=Supuestos!$B$24,Supuestos!$B$23/Supuestos!$B$24,0)</f>
        <v>0</v>
      </c>
      <c r="AU16" s="22" t="n">
        <f aca="false">IF(AU$3&lt;=Supuestos!$B$24,Supuestos!$B$23/Supuestos!$B$24,0)</f>
        <v>0</v>
      </c>
      <c r="AV16" s="22" t="n">
        <f aca="false">IF(AV$3&lt;=Supuestos!$B$24,Supuestos!$B$23/Supuestos!$B$24,0)</f>
        <v>0</v>
      </c>
      <c r="AW16" s="22" t="n">
        <f aca="false">IF(AW$3&lt;=Supuestos!$B$24,Supuestos!$B$23/Supuestos!$B$24,0)</f>
        <v>0</v>
      </c>
      <c r="AX16" s="22" t="n">
        <f aca="false">IF(AX$3&lt;=Supuestos!$B$24,Supuestos!$B$23/Supuestos!$B$24,0)</f>
        <v>0</v>
      </c>
      <c r="AY16" s="22" t="n">
        <f aca="false">IF(AY$3&lt;=Supuestos!$B$24,Supuestos!$B$23/Supuestos!$B$24,0)</f>
        <v>0</v>
      </c>
      <c r="AZ16" s="22" t="n">
        <f aca="false">IF(AZ$3&lt;=Supuestos!$B$24,Supuestos!$B$23/Supuestos!$B$24,0)</f>
        <v>0</v>
      </c>
      <c r="BA16" s="22" t="n">
        <f aca="false">IF(BA$3&lt;=Supuestos!$B$24,Supuestos!$B$23/Supuestos!$B$24,0)</f>
        <v>0</v>
      </c>
      <c r="BB16" s="22" t="n">
        <f aca="false">IF(BB$3&lt;=Supuestos!$B$24,Supuestos!$B$23/Supuestos!$B$24,0)</f>
        <v>0</v>
      </c>
      <c r="BC16" s="22" t="n">
        <f aca="false">IF(BC$3&lt;=Supuestos!$B$24,Supuestos!$B$23/Supuestos!$B$24,0)</f>
        <v>0</v>
      </c>
      <c r="BD16" s="22" t="n">
        <f aca="false">IF(BD$3&lt;=Supuestos!$B$24,Supuestos!$B$23/Supuestos!$B$24,0)</f>
        <v>0</v>
      </c>
      <c r="BE16" s="22" t="n">
        <f aca="false">IF(BE$3&lt;=Supuestos!$B$24,Supuestos!$B$23/Supuestos!$B$24,0)</f>
        <v>0</v>
      </c>
      <c r="BF16" s="22" t="n">
        <f aca="false">IF(BF$3&lt;=Supuestos!$B$24,Supuestos!$B$23/Supuestos!$B$24,0)</f>
        <v>0</v>
      </c>
      <c r="BG16" s="22" t="n">
        <f aca="false">IF(BG$3&lt;=Supuestos!$B$24,Supuestos!$B$23/Supuestos!$B$24,0)</f>
        <v>0</v>
      </c>
      <c r="BH16" s="22" t="n">
        <f aca="false">IF(BH$3&lt;=Supuestos!$B$24,Supuestos!$B$23/Supuestos!$B$24,0)</f>
        <v>0</v>
      </c>
      <c r="BI16" s="22" t="n">
        <f aca="false">IF(BI$3&lt;=Supuestos!$B$24,Supuestos!$B$23/Supuestos!$B$24,0)</f>
        <v>0</v>
      </c>
      <c r="BJ16" s="22" t="n">
        <f aca="false">IF(BJ$3&lt;=Supuestos!$B$24,Supuestos!$B$23/Supuestos!$B$24,0)</f>
        <v>0</v>
      </c>
      <c r="BK16" s="22" t="n">
        <f aca="false">IF(BK$3&lt;=Supuestos!$B$24,Supuestos!$B$23/Supuestos!$B$24,0)</f>
        <v>0</v>
      </c>
      <c r="BL16" s="22" t="n">
        <f aca="false">IF(BL$3&lt;=Supuestos!$B$24,Supuestos!$B$23/Supuestos!$B$24,0)</f>
        <v>0</v>
      </c>
      <c r="BM16" s="22" t="n">
        <f aca="false">IF(BM$3&lt;=Supuestos!$B$24,Supuestos!$B$23/Supuestos!$B$24,0)</f>
        <v>0</v>
      </c>
      <c r="BN16" s="22" t="n">
        <f aca="false">IF(BN$3&lt;=Supuestos!$B$24,Supuestos!$B$23/Supuestos!$B$24,0)</f>
        <v>0</v>
      </c>
      <c r="BO16" s="22" t="n">
        <f aca="false">IF(BO$3&lt;=Supuestos!$B$24,Supuestos!$B$23/Supuestos!$B$24,0)</f>
        <v>0</v>
      </c>
      <c r="BP16" s="22" t="n">
        <f aca="false">IF(BP$3&lt;=Supuestos!$B$24,Supuestos!$B$23/Supuestos!$B$24,0)</f>
        <v>0</v>
      </c>
      <c r="BQ16" s="22" t="n">
        <f aca="false">IF(BQ$3&lt;=Supuestos!$B$24,Supuestos!$B$23/Supuestos!$B$24,0)</f>
        <v>0</v>
      </c>
      <c r="BR16" s="22" t="n">
        <f aca="false">IF(BR$3&lt;=Supuestos!$B$24,Supuestos!$B$23/Supuestos!$B$24,0)</f>
        <v>0</v>
      </c>
      <c r="BS16" s="22" t="n">
        <f aca="false">IF(BS$3&lt;=Supuestos!$B$24,Supuestos!$B$23/Supuestos!$B$24,0)</f>
        <v>0</v>
      </c>
      <c r="BT16" s="22" t="n">
        <f aca="false">IF(BT$3&lt;=Supuestos!$B$24,Supuestos!$B$23/Supuestos!$B$24,0)</f>
        <v>0</v>
      </c>
      <c r="BU16" s="22" t="n">
        <f aca="false">IF(BU$3&lt;=Supuestos!$B$24,Supuestos!$B$23/Supuestos!$B$24,0)</f>
        <v>0</v>
      </c>
      <c r="BV16" s="22" t="n">
        <f aca="false">IF(BV$3&lt;=Supuestos!$B$24,Supuestos!$B$23/Supuestos!$B$24,0)</f>
        <v>0</v>
      </c>
      <c r="BW16" s="22" t="n">
        <f aca="false">IF(BW$3&lt;=Supuestos!$B$24,Supuestos!$B$23/Supuestos!$B$24,0)</f>
        <v>0</v>
      </c>
      <c r="BX16" s="22" t="n">
        <f aca="false">IF(BX$3&lt;=Supuestos!$B$24,Supuestos!$B$23/Supuestos!$B$24,0)</f>
        <v>0</v>
      </c>
      <c r="BY16" s="22" t="n">
        <f aca="false">IF(BY$3&lt;=Supuestos!$B$24,Supuestos!$B$23/Supuestos!$B$24,0)</f>
        <v>0</v>
      </c>
      <c r="BZ16" s="22" t="n">
        <f aca="false">IF(BZ$3&lt;=Supuestos!$B$24,Supuestos!$B$23/Supuestos!$B$24,0)</f>
        <v>0</v>
      </c>
      <c r="CA16" s="22" t="n">
        <f aca="false">IF(CA$3&lt;=Supuestos!$B$24,Supuestos!$B$23/Supuestos!$B$24,0)</f>
        <v>0</v>
      </c>
      <c r="CB16" s="22" t="n">
        <f aca="false">IF(CB$3&lt;=Supuestos!$B$24,Supuestos!$B$23/Supuestos!$B$24,0)</f>
        <v>0</v>
      </c>
      <c r="CC16" s="22" t="n">
        <f aca="false">IF(CC$3&lt;=Supuestos!$B$24,Supuestos!$B$23/Supuestos!$B$24,0)</f>
        <v>0</v>
      </c>
      <c r="CD16" s="22" t="n">
        <f aca="false">IF(CD$3&lt;=Supuestos!$B$24,Supuestos!$B$23/Supuestos!$B$24,0)</f>
        <v>0</v>
      </c>
      <c r="CE16" s="22" t="n">
        <f aca="false">IF(CE$3&lt;=Supuestos!$B$24,Supuestos!$B$23/Supuestos!$B$24,0)</f>
        <v>0</v>
      </c>
      <c r="CF16" s="22" t="n">
        <f aca="false">IF(CF$3&lt;=Supuestos!$B$24,Supuestos!$B$23/Supuestos!$B$24,0)</f>
        <v>0</v>
      </c>
      <c r="CG16" s="22" t="n">
        <f aca="false">IF(CG$3&lt;=Supuestos!$B$24,Supuestos!$B$23/Supuestos!$B$24,0)</f>
        <v>0</v>
      </c>
      <c r="CH16" s="22" t="n">
        <f aca="false">IF(CH$3&lt;=Supuestos!$B$24,Supuestos!$B$23/Supuestos!$B$24,0)</f>
        <v>0</v>
      </c>
    </row>
    <row r="17" customFormat="false" ht="15" hidden="false" customHeight="false" outlineLevel="0" collapsed="false">
      <c r="A17" s="6" t="s">
        <v>163</v>
      </c>
      <c r="B17" s="9" t="n">
        <f aca="false">SUM(C17:CH17)</f>
        <v>1475112</v>
      </c>
      <c r="C17" s="22" t="n">
        <f aca="false">IF(AND(C$3&gt;=Supuestos!$B$27,C$3&lt;=Supuestos!$B$28),Supuestos!$B$25*Supuestos!$B$26/(Supuestos!$B$28-Supuestos!$B$27+1),0)</f>
        <v>0</v>
      </c>
      <c r="D17" s="22" t="n">
        <f aca="false">IF(AND(D$3&gt;=Supuestos!$B$27,D$3&lt;=Supuestos!$B$28),Supuestos!$B$25*Supuestos!$B$26/(Supuestos!$B$28-Supuestos!$B$27+1),0)</f>
        <v>0</v>
      </c>
      <c r="E17" s="22" t="n">
        <f aca="false">IF(AND(E$3&gt;=Supuestos!$B$27,E$3&lt;=Supuestos!$B$28),Supuestos!$B$25*Supuestos!$B$26/(Supuestos!$B$28-Supuestos!$B$27+1),0)</f>
        <v>0</v>
      </c>
      <c r="F17" s="22" t="n">
        <f aca="false">IF(AND(F$3&gt;=Supuestos!$B$27,F$3&lt;=Supuestos!$B$28),Supuestos!$B$25*Supuestos!$B$26/(Supuestos!$B$28-Supuestos!$B$27+1),0)</f>
        <v>0</v>
      </c>
      <c r="G17" s="22" t="n">
        <f aca="false">IF(AND(G$3&gt;=Supuestos!$B$27,G$3&lt;=Supuestos!$B$28),Supuestos!$B$25*Supuestos!$B$26/(Supuestos!$B$28-Supuestos!$B$27+1),0)</f>
        <v>147511.2</v>
      </c>
      <c r="H17" s="22" t="n">
        <f aca="false">IF(AND(H$3&gt;=Supuestos!$B$27,H$3&lt;=Supuestos!$B$28),Supuestos!$B$25*Supuestos!$B$26/(Supuestos!$B$28-Supuestos!$B$27+1),0)</f>
        <v>147511.2</v>
      </c>
      <c r="I17" s="22" t="n">
        <f aca="false">IF(AND(I$3&gt;=Supuestos!$B$27,I$3&lt;=Supuestos!$B$28),Supuestos!$B$25*Supuestos!$B$26/(Supuestos!$B$28-Supuestos!$B$27+1),0)</f>
        <v>147511.2</v>
      </c>
      <c r="J17" s="22" t="n">
        <f aca="false">IF(AND(J$3&gt;=Supuestos!$B$27,J$3&lt;=Supuestos!$B$28),Supuestos!$B$25*Supuestos!$B$26/(Supuestos!$B$28-Supuestos!$B$27+1),0)</f>
        <v>147511.2</v>
      </c>
      <c r="K17" s="22" t="n">
        <f aca="false">IF(AND(K$3&gt;=Supuestos!$B$27,K$3&lt;=Supuestos!$B$28),Supuestos!$B$25*Supuestos!$B$26/(Supuestos!$B$28-Supuestos!$B$27+1),0)</f>
        <v>147511.2</v>
      </c>
      <c r="L17" s="22" t="n">
        <f aca="false">IF(AND(L$3&gt;=Supuestos!$B$27,L$3&lt;=Supuestos!$B$28),Supuestos!$B$25*Supuestos!$B$26/(Supuestos!$B$28-Supuestos!$B$27+1),0)</f>
        <v>147511.2</v>
      </c>
      <c r="M17" s="22" t="n">
        <f aca="false">IF(AND(M$3&gt;=Supuestos!$B$27,M$3&lt;=Supuestos!$B$28),Supuestos!$B$25*Supuestos!$B$26/(Supuestos!$B$28-Supuestos!$B$27+1),0)</f>
        <v>147511.2</v>
      </c>
      <c r="N17" s="22" t="n">
        <f aca="false">IF(AND(N$3&gt;=Supuestos!$B$27,N$3&lt;=Supuestos!$B$28),Supuestos!$B$25*Supuestos!$B$26/(Supuestos!$B$28-Supuestos!$B$27+1),0)</f>
        <v>147511.2</v>
      </c>
      <c r="O17" s="22" t="n">
        <f aca="false">IF(AND(O$3&gt;=Supuestos!$B$27,O$3&lt;=Supuestos!$B$28),Supuestos!$B$25*Supuestos!$B$26/(Supuestos!$B$28-Supuestos!$B$27+1),0)</f>
        <v>147511.2</v>
      </c>
      <c r="P17" s="22" t="n">
        <f aca="false">IF(AND(P$3&gt;=Supuestos!$B$27,P$3&lt;=Supuestos!$B$28),Supuestos!$B$25*Supuestos!$B$26/(Supuestos!$B$28-Supuestos!$B$27+1),0)</f>
        <v>147511.2</v>
      </c>
      <c r="Q17" s="22" t="n">
        <f aca="false">IF(AND(Q$3&gt;=Supuestos!$B$27,Q$3&lt;=Supuestos!$B$28),Supuestos!$B$25*Supuestos!$B$26/(Supuestos!$B$28-Supuestos!$B$27+1),0)</f>
        <v>0</v>
      </c>
      <c r="R17" s="22" t="n">
        <f aca="false">IF(AND(R$3&gt;=Supuestos!$B$27,R$3&lt;=Supuestos!$B$28),Supuestos!$B$25*Supuestos!$B$26/(Supuestos!$B$28-Supuestos!$B$27+1),0)</f>
        <v>0</v>
      </c>
      <c r="S17" s="22" t="n">
        <f aca="false">IF(AND(S$3&gt;=Supuestos!$B$27,S$3&lt;=Supuestos!$B$28),Supuestos!$B$25*Supuestos!$B$26/(Supuestos!$B$28-Supuestos!$B$27+1),0)</f>
        <v>0</v>
      </c>
      <c r="T17" s="22" t="n">
        <f aca="false">IF(AND(T$3&gt;=Supuestos!$B$27,T$3&lt;=Supuestos!$B$28),Supuestos!$B$25*Supuestos!$B$26/(Supuestos!$B$28-Supuestos!$B$27+1),0)</f>
        <v>0</v>
      </c>
      <c r="U17" s="22" t="n">
        <f aca="false">IF(AND(U$3&gt;=Supuestos!$B$27,U$3&lt;=Supuestos!$B$28),Supuestos!$B$25*Supuestos!$B$26/(Supuestos!$B$28-Supuestos!$B$27+1),0)</f>
        <v>0</v>
      </c>
      <c r="V17" s="22" t="n">
        <f aca="false">IF(AND(V$3&gt;=Supuestos!$B$27,V$3&lt;=Supuestos!$B$28),Supuestos!$B$25*Supuestos!$B$26/(Supuestos!$B$28-Supuestos!$B$27+1),0)</f>
        <v>0</v>
      </c>
      <c r="W17" s="22" t="n">
        <f aca="false">IF(AND(W$3&gt;=Supuestos!$B$27,W$3&lt;=Supuestos!$B$28),Supuestos!$B$25*Supuestos!$B$26/(Supuestos!$B$28-Supuestos!$B$27+1),0)</f>
        <v>0</v>
      </c>
      <c r="X17" s="22" t="n">
        <f aca="false">IF(AND(X$3&gt;=Supuestos!$B$27,X$3&lt;=Supuestos!$B$28),Supuestos!$B$25*Supuestos!$B$26/(Supuestos!$B$28-Supuestos!$B$27+1),0)</f>
        <v>0</v>
      </c>
      <c r="Y17" s="22" t="n">
        <f aca="false">IF(AND(Y$3&gt;=Supuestos!$B$27,Y$3&lt;=Supuestos!$B$28),Supuestos!$B$25*Supuestos!$B$26/(Supuestos!$B$28-Supuestos!$B$27+1),0)</f>
        <v>0</v>
      </c>
      <c r="Z17" s="22" t="n">
        <f aca="false">IF(AND(Z$3&gt;=Supuestos!$B$27,Z$3&lt;=Supuestos!$B$28),Supuestos!$B$25*Supuestos!$B$26/(Supuestos!$B$28-Supuestos!$B$27+1),0)</f>
        <v>0</v>
      </c>
      <c r="AA17" s="22" t="n">
        <f aca="false">IF(AND(AA$3&gt;=Supuestos!$B$27,AA$3&lt;=Supuestos!$B$28),Supuestos!$B$25*Supuestos!$B$26/(Supuestos!$B$28-Supuestos!$B$27+1),0)</f>
        <v>0</v>
      </c>
      <c r="AB17" s="22" t="n">
        <f aca="false">IF(AND(AB$3&gt;=Supuestos!$B$27,AB$3&lt;=Supuestos!$B$28),Supuestos!$B$25*Supuestos!$B$26/(Supuestos!$B$28-Supuestos!$B$27+1),0)</f>
        <v>0</v>
      </c>
      <c r="AC17" s="22" t="n">
        <f aca="false">IF(AND(AC$3&gt;=Supuestos!$B$27,AC$3&lt;=Supuestos!$B$28),Supuestos!$B$25*Supuestos!$B$26/(Supuestos!$B$28-Supuestos!$B$27+1),0)</f>
        <v>0</v>
      </c>
      <c r="AD17" s="22" t="n">
        <f aca="false">IF(AND(AD$3&gt;=Supuestos!$B$27,AD$3&lt;=Supuestos!$B$28),Supuestos!$B$25*Supuestos!$B$26/(Supuestos!$B$28-Supuestos!$B$27+1),0)</f>
        <v>0</v>
      </c>
      <c r="AE17" s="22" t="n">
        <f aca="false">IF(AND(AE$3&gt;=Supuestos!$B$27,AE$3&lt;=Supuestos!$B$28),Supuestos!$B$25*Supuestos!$B$26/(Supuestos!$B$28-Supuestos!$B$27+1),0)</f>
        <v>0</v>
      </c>
      <c r="AF17" s="22" t="n">
        <f aca="false">IF(AND(AF$3&gt;=Supuestos!$B$27,AF$3&lt;=Supuestos!$B$28),Supuestos!$B$25*Supuestos!$B$26/(Supuestos!$B$28-Supuestos!$B$27+1),0)</f>
        <v>0</v>
      </c>
      <c r="AG17" s="22" t="n">
        <f aca="false">IF(AND(AG$3&gt;=Supuestos!$B$27,AG$3&lt;=Supuestos!$B$28),Supuestos!$B$25*Supuestos!$B$26/(Supuestos!$B$28-Supuestos!$B$27+1),0)</f>
        <v>0</v>
      </c>
      <c r="AH17" s="22" t="n">
        <f aca="false">IF(AND(AH$3&gt;=Supuestos!$B$27,AH$3&lt;=Supuestos!$B$28),Supuestos!$B$25*Supuestos!$B$26/(Supuestos!$B$28-Supuestos!$B$27+1),0)</f>
        <v>0</v>
      </c>
      <c r="AI17" s="22" t="n">
        <f aca="false">IF(AND(AI$3&gt;=Supuestos!$B$27,AI$3&lt;=Supuestos!$B$28),Supuestos!$B$25*Supuestos!$B$26/(Supuestos!$B$28-Supuestos!$B$27+1),0)</f>
        <v>0</v>
      </c>
      <c r="AJ17" s="22" t="n">
        <f aca="false">IF(AND(AJ$3&gt;=Supuestos!$B$27,AJ$3&lt;=Supuestos!$B$28),Supuestos!$B$25*Supuestos!$B$26/(Supuestos!$B$28-Supuestos!$B$27+1),0)</f>
        <v>0</v>
      </c>
      <c r="AK17" s="22" t="n">
        <f aca="false">IF(AND(AK$3&gt;=Supuestos!$B$27,AK$3&lt;=Supuestos!$B$28),Supuestos!$B$25*Supuestos!$B$26/(Supuestos!$B$28-Supuestos!$B$27+1),0)</f>
        <v>0</v>
      </c>
      <c r="AL17" s="22" t="n">
        <f aca="false">IF(AND(AL$3&gt;=Supuestos!$B$27,AL$3&lt;=Supuestos!$B$28),Supuestos!$B$25*Supuestos!$B$26/(Supuestos!$B$28-Supuestos!$B$27+1),0)</f>
        <v>0</v>
      </c>
      <c r="AM17" s="22" t="n">
        <f aca="false">IF(AND(AM$3&gt;=Supuestos!$B$27,AM$3&lt;=Supuestos!$B$28),Supuestos!$B$25*Supuestos!$B$26/(Supuestos!$B$28-Supuestos!$B$27+1),0)</f>
        <v>0</v>
      </c>
      <c r="AN17" s="22" t="n">
        <f aca="false">IF(AND(AN$3&gt;=Supuestos!$B$27,AN$3&lt;=Supuestos!$B$28),Supuestos!$B$25*Supuestos!$B$26/(Supuestos!$B$28-Supuestos!$B$27+1),0)</f>
        <v>0</v>
      </c>
      <c r="AO17" s="22" t="n">
        <f aca="false">IF(AND(AO$3&gt;=Supuestos!$B$27,AO$3&lt;=Supuestos!$B$28),Supuestos!$B$25*Supuestos!$B$26/(Supuestos!$B$28-Supuestos!$B$27+1),0)</f>
        <v>0</v>
      </c>
      <c r="AP17" s="22" t="n">
        <f aca="false">IF(AND(AP$3&gt;=Supuestos!$B$27,AP$3&lt;=Supuestos!$B$28),Supuestos!$B$25*Supuestos!$B$26/(Supuestos!$B$28-Supuestos!$B$27+1),0)</f>
        <v>0</v>
      </c>
      <c r="AQ17" s="22" t="n">
        <f aca="false">IF(AND(AQ$3&gt;=Supuestos!$B$27,AQ$3&lt;=Supuestos!$B$28),Supuestos!$B$25*Supuestos!$B$26/(Supuestos!$B$28-Supuestos!$B$27+1),0)</f>
        <v>0</v>
      </c>
      <c r="AR17" s="22" t="n">
        <f aca="false">IF(AND(AR$3&gt;=Supuestos!$B$27,AR$3&lt;=Supuestos!$B$28),Supuestos!$B$25*Supuestos!$B$26/(Supuestos!$B$28-Supuestos!$B$27+1),0)</f>
        <v>0</v>
      </c>
      <c r="AS17" s="22" t="n">
        <f aca="false">IF(AND(AS$3&gt;=Supuestos!$B$27,AS$3&lt;=Supuestos!$B$28),Supuestos!$B$25*Supuestos!$B$26/(Supuestos!$B$28-Supuestos!$B$27+1),0)</f>
        <v>0</v>
      </c>
      <c r="AT17" s="22" t="n">
        <f aca="false">IF(AND(AT$3&gt;=Supuestos!$B$27,AT$3&lt;=Supuestos!$B$28),Supuestos!$B$25*Supuestos!$B$26/(Supuestos!$B$28-Supuestos!$B$27+1),0)</f>
        <v>0</v>
      </c>
      <c r="AU17" s="22" t="n">
        <f aca="false">IF(AND(AU$3&gt;=Supuestos!$B$27,AU$3&lt;=Supuestos!$B$28),Supuestos!$B$25*Supuestos!$B$26/(Supuestos!$B$28-Supuestos!$B$27+1),0)</f>
        <v>0</v>
      </c>
      <c r="AV17" s="22" t="n">
        <f aca="false">IF(AND(AV$3&gt;=Supuestos!$B$27,AV$3&lt;=Supuestos!$B$28),Supuestos!$B$25*Supuestos!$B$26/(Supuestos!$B$28-Supuestos!$B$27+1),0)</f>
        <v>0</v>
      </c>
      <c r="AW17" s="22" t="n">
        <f aca="false">IF(AND(AW$3&gt;=Supuestos!$B$27,AW$3&lt;=Supuestos!$B$28),Supuestos!$B$25*Supuestos!$B$26/(Supuestos!$B$28-Supuestos!$B$27+1),0)</f>
        <v>0</v>
      </c>
      <c r="AX17" s="22" t="n">
        <f aca="false">IF(AND(AX$3&gt;=Supuestos!$B$27,AX$3&lt;=Supuestos!$B$28),Supuestos!$B$25*Supuestos!$B$26/(Supuestos!$B$28-Supuestos!$B$27+1),0)</f>
        <v>0</v>
      </c>
      <c r="AY17" s="22" t="n">
        <f aca="false">IF(AND(AY$3&gt;=Supuestos!$B$27,AY$3&lt;=Supuestos!$B$28),Supuestos!$B$25*Supuestos!$B$26/(Supuestos!$B$28-Supuestos!$B$27+1),0)</f>
        <v>0</v>
      </c>
      <c r="AZ17" s="22" t="n">
        <f aca="false">IF(AND(AZ$3&gt;=Supuestos!$B$27,AZ$3&lt;=Supuestos!$B$28),Supuestos!$B$25*Supuestos!$B$26/(Supuestos!$B$28-Supuestos!$B$27+1),0)</f>
        <v>0</v>
      </c>
      <c r="BA17" s="22" t="n">
        <f aca="false">IF(AND(BA$3&gt;=Supuestos!$B$27,BA$3&lt;=Supuestos!$B$28),Supuestos!$B$25*Supuestos!$B$26/(Supuestos!$B$28-Supuestos!$B$27+1),0)</f>
        <v>0</v>
      </c>
      <c r="BB17" s="22" t="n">
        <f aca="false">IF(AND(BB$3&gt;=Supuestos!$B$27,BB$3&lt;=Supuestos!$B$28),Supuestos!$B$25*Supuestos!$B$26/(Supuestos!$B$28-Supuestos!$B$27+1),0)</f>
        <v>0</v>
      </c>
      <c r="BC17" s="22" t="n">
        <f aca="false">IF(AND(BC$3&gt;=Supuestos!$B$27,BC$3&lt;=Supuestos!$B$28),Supuestos!$B$25*Supuestos!$B$26/(Supuestos!$B$28-Supuestos!$B$27+1),0)</f>
        <v>0</v>
      </c>
      <c r="BD17" s="22" t="n">
        <f aca="false">IF(AND(BD$3&gt;=Supuestos!$B$27,BD$3&lt;=Supuestos!$B$28),Supuestos!$B$25*Supuestos!$B$26/(Supuestos!$B$28-Supuestos!$B$27+1),0)</f>
        <v>0</v>
      </c>
      <c r="BE17" s="22" t="n">
        <f aca="false">IF(AND(BE$3&gt;=Supuestos!$B$27,BE$3&lt;=Supuestos!$B$28),Supuestos!$B$25*Supuestos!$B$26/(Supuestos!$B$28-Supuestos!$B$27+1),0)</f>
        <v>0</v>
      </c>
      <c r="BF17" s="22" t="n">
        <f aca="false">IF(AND(BF$3&gt;=Supuestos!$B$27,BF$3&lt;=Supuestos!$B$28),Supuestos!$B$25*Supuestos!$B$26/(Supuestos!$B$28-Supuestos!$B$27+1),0)</f>
        <v>0</v>
      </c>
      <c r="BG17" s="22" t="n">
        <f aca="false">IF(AND(BG$3&gt;=Supuestos!$B$27,BG$3&lt;=Supuestos!$B$28),Supuestos!$B$25*Supuestos!$B$26/(Supuestos!$B$28-Supuestos!$B$27+1),0)</f>
        <v>0</v>
      </c>
      <c r="BH17" s="22" t="n">
        <f aca="false">IF(AND(BH$3&gt;=Supuestos!$B$27,BH$3&lt;=Supuestos!$B$28),Supuestos!$B$25*Supuestos!$B$26/(Supuestos!$B$28-Supuestos!$B$27+1),0)</f>
        <v>0</v>
      </c>
      <c r="BI17" s="22" t="n">
        <f aca="false">IF(AND(BI$3&gt;=Supuestos!$B$27,BI$3&lt;=Supuestos!$B$28),Supuestos!$B$25*Supuestos!$B$26/(Supuestos!$B$28-Supuestos!$B$27+1),0)</f>
        <v>0</v>
      </c>
      <c r="BJ17" s="22" t="n">
        <f aca="false">IF(AND(BJ$3&gt;=Supuestos!$B$27,BJ$3&lt;=Supuestos!$B$28),Supuestos!$B$25*Supuestos!$B$26/(Supuestos!$B$28-Supuestos!$B$27+1),0)</f>
        <v>0</v>
      </c>
      <c r="BK17" s="22" t="n">
        <f aca="false">IF(AND(BK$3&gt;=Supuestos!$B$27,BK$3&lt;=Supuestos!$B$28),Supuestos!$B$25*Supuestos!$B$26/(Supuestos!$B$28-Supuestos!$B$27+1),0)</f>
        <v>0</v>
      </c>
      <c r="BL17" s="22" t="n">
        <f aca="false">IF(AND(BL$3&gt;=Supuestos!$B$27,BL$3&lt;=Supuestos!$B$28),Supuestos!$B$25*Supuestos!$B$26/(Supuestos!$B$28-Supuestos!$B$27+1),0)</f>
        <v>0</v>
      </c>
      <c r="BM17" s="22" t="n">
        <f aca="false">IF(AND(BM$3&gt;=Supuestos!$B$27,BM$3&lt;=Supuestos!$B$28),Supuestos!$B$25*Supuestos!$B$26/(Supuestos!$B$28-Supuestos!$B$27+1),0)</f>
        <v>0</v>
      </c>
      <c r="BN17" s="22" t="n">
        <f aca="false">IF(AND(BN$3&gt;=Supuestos!$B$27,BN$3&lt;=Supuestos!$B$28),Supuestos!$B$25*Supuestos!$B$26/(Supuestos!$B$28-Supuestos!$B$27+1),0)</f>
        <v>0</v>
      </c>
      <c r="BO17" s="22" t="n">
        <f aca="false">IF(AND(BO$3&gt;=Supuestos!$B$27,BO$3&lt;=Supuestos!$B$28),Supuestos!$B$25*Supuestos!$B$26/(Supuestos!$B$28-Supuestos!$B$27+1),0)</f>
        <v>0</v>
      </c>
      <c r="BP17" s="22" t="n">
        <f aca="false">IF(AND(BP$3&gt;=Supuestos!$B$27,BP$3&lt;=Supuestos!$B$28),Supuestos!$B$25*Supuestos!$B$26/(Supuestos!$B$28-Supuestos!$B$27+1),0)</f>
        <v>0</v>
      </c>
      <c r="BQ17" s="22" t="n">
        <f aca="false">IF(AND(BQ$3&gt;=Supuestos!$B$27,BQ$3&lt;=Supuestos!$B$28),Supuestos!$B$25*Supuestos!$B$26/(Supuestos!$B$28-Supuestos!$B$27+1),0)</f>
        <v>0</v>
      </c>
      <c r="BR17" s="22" t="n">
        <f aca="false">IF(AND(BR$3&gt;=Supuestos!$B$27,BR$3&lt;=Supuestos!$B$28),Supuestos!$B$25*Supuestos!$B$26/(Supuestos!$B$28-Supuestos!$B$27+1),0)</f>
        <v>0</v>
      </c>
      <c r="BS17" s="22" t="n">
        <f aca="false">IF(AND(BS$3&gt;=Supuestos!$B$27,BS$3&lt;=Supuestos!$B$28),Supuestos!$B$25*Supuestos!$B$26/(Supuestos!$B$28-Supuestos!$B$27+1),0)</f>
        <v>0</v>
      </c>
      <c r="BT17" s="22" t="n">
        <f aca="false">IF(AND(BT$3&gt;=Supuestos!$B$27,BT$3&lt;=Supuestos!$B$28),Supuestos!$B$25*Supuestos!$B$26/(Supuestos!$B$28-Supuestos!$B$27+1),0)</f>
        <v>0</v>
      </c>
      <c r="BU17" s="22" t="n">
        <f aca="false">IF(AND(BU$3&gt;=Supuestos!$B$27,BU$3&lt;=Supuestos!$B$28),Supuestos!$B$25*Supuestos!$B$26/(Supuestos!$B$28-Supuestos!$B$27+1),0)</f>
        <v>0</v>
      </c>
      <c r="BV17" s="22" t="n">
        <f aca="false">IF(AND(BV$3&gt;=Supuestos!$B$27,BV$3&lt;=Supuestos!$B$28),Supuestos!$B$25*Supuestos!$B$26/(Supuestos!$B$28-Supuestos!$B$27+1),0)</f>
        <v>0</v>
      </c>
      <c r="BW17" s="22" t="n">
        <f aca="false">IF(AND(BW$3&gt;=Supuestos!$B$27,BW$3&lt;=Supuestos!$B$28),Supuestos!$B$25*Supuestos!$B$26/(Supuestos!$B$28-Supuestos!$B$27+1),0)</f>
        <v>0</v>
      </c>
      <c r="BX17" s="22" t="n">
        <f aca="false">IF(AND(BX$3&gt;=Supuestos!$B$27,BX$3&lt;=Supuestos!$B$28),Supuestos!$B$25*Supuestos!$B$26/(Supuestos!$B$28-Supuestos!$B$27+1),0)</f>
        <v>0</v>
      </c>
      <c r="BY17" s="22" t="n">
        <f aca="false">IF(AND(BY$3&gt;=Supuestos!$B$27,BY$3&lt;=Supuestos!$B$28),Supuestos!$B$25*Supuestos!$B$26/(Supuestos!$B$28-Supuestos!$B$27+1),0)</f>
        <v>0</v>
      </c>
      <c r="BZ17" s="22" t="n">
        <f aca="false">IF(AND(BZ$3&gt;=Supuestos!$B$27,BZ$3&lt;=Supuestos!$B$28),Supuestos!$B$25*Supuestos!$B$26/(Supuestos!$B$28-Supuestos!$B$27+1),0)</f>
        <v>0</v>
      </c>
      <c r="CA17" s="22" t="n">
        <f aca="false">IF(AND(CA$3&gt;=Supuestos!$B$27,CA$3&lt;=Supuestos!$B$28),Supuestos!$B$25*Supuestos!$B$26/(Supuestos!$B$28-Supuestos!$B$27+1),0)</f>
        <v>0</v>
      </c>
      <c r="CB17" s="22" t="n">
        <f aca="false">IF(AND(CB$3&gt;=Supuestos!$B$27,CB$3&lt;=Supuestos!$B$28),Supuestos!$B$25*Supuestos!$B$26/(Supuestos!$B$28-Supuestos!$B$27+1),0)</f>
        <v>0</v>
      </c>
      <c r="CC17" s="22" t="n">
        <f aca="false">IF(AND(CC$3&gt;=Supuestos!$B$27,CC$3&lt;=Supuestos!$B$28),Supuestos!$B$25*Supuestos!$B$26/(Supuestos!$B$28-Supuestos!$B$27+1),0)</f>
        <v>0</v>
      </c>
      <c r="CD17" s="22" t="n">
        <f aca="false">IF(AND(CD$3&gt;=Supuestos!$B$27,CD$3&lt;=Supuestos!$B$28),Supuestos!$B$25*Supuestos!$B$26/(Supuestos!$B$28-Supuestos!$B$27+1),0)</f>
        <v>0</v>
      </c>
      <c r="CE17" s="22" t="n">
        <f aca="false">IF(AND(CE$3&gt;=Supuestos!$B$27,CE$3&lt;=Supuestos!$B$28),Supuestos!$B$25*Supuestos!$B$26/(Supuestos!$B$28-Supuestos!$B$27+1),0)</f>
        <v>0</v>
      </c>
      <c r="CF17" s="22" t="n">
        <f aca="false">IF(AND(CF$3&gt;=Supuestos!$B$27,CF$3&lt;=Supuestos!$B$28),Supuestos!$B$25*Supuestos!$B$26/(Supuestos!$B$28-Supuestos!$B$27+1),0)</f>
        <v>0</v>
      </c>
      <c r="CG17" s="22" t="n">
        <f aca="false">IF(AND(CG$3&gt;=Supuestos!$B$27,CG$3&lt;=Supuestos!$B$28),Supuestos!$B$25*Supuestos!$B$26/(Supuestos!$B$28-Supuestos!$B$27+1),0)</f>
        <v>0</v>
      </c>
      <c r="CH17" s="22" t="n">
        <f aca="false">IF(AND(CH$3&gt;=Supuestos!$B$27,CH$3&lt;=Supuestos!$B$28),Supuestos!$B$25*Supuestos!$B$26/(Supuestos!$B$28-Supuestos!$B$27+1),0)</f>
        <v>0</v>
      </c>
    </row>
    <row r="18" customFormat="false" ht="15" hidden="false" customHeight="false" outlineLevel="0" collapsed="false">
      <c r="A18" s="6" t="s">
        <v>164</v>
      </c>
      <c r="B18" s="9" t="n">
        <f aca="false">SUM(C18:CH18)</f>
        <v>400000</v>
      </c>
      <c r="C18" s="22" t="n">
        <f aca="false">IF(AND(C$3&gt;=Supuestos!$B$30,C$3&lt;=Supuestos!$B$31),Supuestos!$B$29/(Supuestos!$B$31-Supuestos!$B$30+1),0)</f>
        <v>0</v>
      </c>
      <c r="D18" s="22" t="n">
        <f aca="false">IF(AND(D$3&gt;=Supuestos!$B$30,D$3&lt;=Supuestos!$B$31),Supuestos!$B$29/(Supuestos!$B$31-Supuestos!$B$30+1),0)</f>
        <v>0</v>
      </c>
      <c r="E18" s="22" t="n">
        <f aca="false">IF(AND(E$3&gt;=Supuestos!$B$30,E$3&lt;=Supuestos!$B$31),Supuestos!$B$29/(Supuestos!$B$31-Supuestos!$B$30+1),0)</f>
        <v>0</v>
      </c>
      <c r="F18" s="22" t="n">
        <f aca="false">IF(AND(F$3&gt;=Supuestos!$B$30,F$3&lt;=Supuestos!$B$31),Supuestos!$B$29/(Supuestos!$B$31-Supuestos!$B$30+1),0)</f>
        <v>0</v>
      </c>
      <c r="G18" s="22" t="n">
        <f aca="false">IF(AND(G$3&gt;=Supuestos!$B$30,G$3&lt;=Supuestos!$B$31),Supuestos!$B$29/(Supuestos!$B$31-Supuestos!$B$30+1),0)</f>
        <v>0</v>
      </c>
      <c r="H18" s="22" t="n">
        <f aca="false">IF(AND(H$3&gt;=Supuestos!$B$30,H$3&lt;=Supuestos!$B$31),Supuestos!$B$29/(Supuestos!$B$31-Supuestos!$B$30+1),0)</f>
        <v>0</v>
      </c>
      <c r="I18" s="22" t="n">
        <f aca="false">IF(AND(I$3&gt;=Supuestos!$B$30,I$3&lt;=Supuestos!$B$31),Supuestos!$B$29/(Supuestos!$B$31-Supuestos!$B$30+1),0)</f>
        <v>0</v>
      </c>
      <c r="J18" s="22" t="n">
        <f aca="false">IF(AND(J$3&gt;=Supuestos!$B$30,J$3&lt;=Supuestos!$B$31),Supuestos!$B$29/(Supuestos!$B$31-Supuestos!$B$30+1),0)</f>
        <v>0</v>
      </c>
      <c r="K18" s="22" t="n">
        <f aca="false">IF(AND(K$3&gt;=Supuestos!$B$30,K$3&lt;=Supuestos!$B$31),Supuestos!$B$29/(Supuestos!$B$31-Supuestos!$B$30+1),0)</f>
        <v>66666.6666666667</v>
      </c>
      <c r="L18" s="22" t="n">
        <f aca="false">IF(AND(L$3&gt;=Supuestos!$B$30,L$3&lt;=Supuestos!$B$31),Supuestos!$B$29/(Supuestos!$B$31-Supuestos!$B$30+1),0)</f>
        <v>66666.6666666667</v>
      </c>
      <c r="M18" s="22" t="n">
        <f aca="false">IF(AND(M$3&gt;=Supuestos!$B$30,M$3&lt;=Supuestos!$B$31),Supuestos!$B$29/(Supuestos!$B$31-Supuestos!$B$30+1),0)</f>
        <v>66666.6666666667</v>
      </c>
      <c r="N18" s="22" t="n">
        <f aca="false">IF(AND(N$3&gt;=Supuestos!$B$30,N$3&lt;=Supuestos!$B$31),Supuestos!$B$29/(Supuestos!$B$31-Supuestos!$B$30+1),0)</f>
        <v>66666.6666666667</v>
      </c>
      <c r="O18" s="22" t="n">
        <f aca="false">IF(AND(O$3&gt;=Supuestos!$B$30,O$3&lt;=Supuestos!$B$31),Supuestos!$B$29/(Supuestos!$B$31-Supuestos!$B$30+1),0)</f>
        <v>66666.6666666667</v>
      </c>
      <c r="P18" s="22" t="n">
        <f aca="false">IF(AND(P$3&gt;=Supuestos!$B$30,P$3&lt;=Supuestos!$B$31),Supuestos!$B$29/(Supuestos!$B$31-Supuestos!$B$30+1),0)</f>
        <v>66666.6666666667</v>
      </c>
      <c r="Q18" s="22" t="n">
        <f aca="false">IF(AND(Q$3&gt;=Supuestos!$B$30,Q$3&lt;=Supuestos!$B$31),Supuestos!$B$29/(Supuestos!$B$31-Supuestos!$B$30+1),0)</f>
        <v>0</v>
      </c>
      <c r="R18" s="22" t="n">
        <f aca="false">IF(AND(R$3&gt;=Supuestos!$B$30,R$3&lt;=Supuestos!$B$31),Supuestos!$B$29/(Supuestos!$B$31-Supuestos!$B$30+1),0)</f>
        <v>0</v>
      </c>
      <c r="S18" s="22" t="n">
        <f aca="false">IF(AND(S$3&gt;=Supuestos!$B$30,S$3&lt;=Supuestos!$B$31),Supuestos!$B$29/(Supuestos!$B$31-Supuestos!$B$30+1),0)</f>
        <v>0</v>
      </c>
      <c r="T18" s="22" t="n">
        <f aca="false">IF(AND(T$3&gt;=Supuestos!$B$30,T$3&lt;=Supuestos!$B$31),Supuestos!$B$29/(Supuestos!$B$31-Supuestos!$B$30+1),0)</f>
        <v>0</v>
      </c>
      <c r="U18" s="22" t="n">
        <f aca="false">IF(AND(U$3&gt;=Supuestos!$B$30,U$3&lt;=Supuestos!$B$31),Supuestos!$B$29/(Supuestos!$B$31-Supuestos!$B$30+1),0)</f>
        <v>0</v>
      </c>
      <c r="V18" s="22" t="n">
        <f aca="false">IF(AND(V$3&gt;=Supuestos!$B$30,V$3&lt;=Supuestos!$B$31),Supuestos!$B$29/(Supuestos!$B$31-Supuestos!$B$30+1),0)</f>
        <v>0</v>
      </c>
      <c r="W18" s="22" t="n">
        <f aca="false">IF(AND(W$3&gt;=Supuestos!$B$30,W$3&lt;=Supuestos!$B$31),Supuestos!$B$29/(Supuestos!$B$31-Supuestos!$B$30+1),0)</f>
        <v>0</v>
      </c>
      <c r="X18" s="22" t="n">
        <f aca="false">IF(AND(X$3&gt;=Supuestos!$B$30,X$3&lt;=Supuestos!$B$31),Supuestos!$B$29/(Supuestos!$B$31-Supuestos!$B$30+1),0)</f>
        <v>0</v>
      </c>
      <c r="Y18" s="22" t="n">
        <f aca="false">IF(AND(Y$3&gt;=Supuestos!$B$30,Y$3&lt;=Supuestos!$B$31),Supuestos!$B$29/(Supuestos!$B$31-Supuestos!$B$30+1),0)</f>
        <v>0</v>
      </c>
      <c r="Z18" s="22" t="n">
        <f aca="false">IF(AND(Z$3&gt;=Supuestos!$B$30,Z$3&lt;=Supuestos!$B$31),Supuestos!$B$29/(Supuestos!$B$31-Supuestos!$B$30+1),0)</f>
        <v>0</v>
      </c>
      <c r="AA18" s="22" t="n">
        <f aca="false">IF(AND(AA$3&gt;=Supuestos!$B$30,AA$3&lt;=Supuestos!$B$31),Supuestos!$B$29/(Supuestos!$B$31-Supuestos!$B$30+1),0)</f>
        <v>0</v>
      </c>
      <c r="AB18" s="22" t="n">
        <f aca="false">IF(AND(AB$3&gt;=Supuestos!$B$30,AB$3&lt;=Supuestos!$B$31),Supuestos!$B$29/(Supuestos!$B$31-Supuestos!$B$30+1),0)</f>
        <v>0</v>
      </c>
      <c r="AC18" s="22" t="n">
        <f aca="false">IF(AND(AC$3&gt;=Supuestos!$B$30,AC$3&lt;=Supuestos!$B$31),Supuestos!$B$29/(Supuestos!$B$31-Supuestos!$B$30+1),0)</f>
        <v>0</v>
      </c>
      <c r="AD18" s="22" t="n">
        <f aca="false">IF(AND(AD$3&gt;=Supuestos!$B$30,AD$3&lt;=Supuestos!$B$31),Supuestos!$B$29/(Supuestos!$B$31-Supuestos!$B$30+1),0)</f>
        <v>0</v>
      </c>
      <c r="AE18" s="22" t="n">
        <f aca="false">IF(AND(AE$3&gt;=Supuestos!$B$30,AE$3&lt;=Supuestos!$B$31),Supuestos!$B$29/(Supuestos!$B$31-Supuestos!$B$30+1),0)</f>
        <v>0</v>
      </c>
      <c r="AF18" s="22" t="n">
        <f aca="false">IF(AND(AF$3&gt;=Supuestos!$B$30,AF$3&lt;=Supuestos!$B$31),Supuestos!$B$29/(Supuestos!$B$31-Supuestos!$B$30+1),0)</f>
        <v>0</v>
      </c>
      <c r="AG18" s="22" t="n">
        <f aca="false">IF(AND(AG$3&gt;=Supuestos!$B$30,AG$3&lt;=Supuestos!$B$31),Supuestos!$B$29/(Supuestos!$B$31-Supuestos!$B$30+1),0)</f>
        <v>0</v>
      </c>
      <c r="AH18" s="22" t="n">
        <f aca="false">IF(AND(AH$3&gt;=Supuestos!$B$30,AH$3&lt;=Supuestos!$B$31),Supuestos!$B$29/(Supuestos!$B$31-Supuestos!$B$30+1),0)</f>
        <v>0</v>
      </c>
      <c r="AI18" s="22" t="n">
        <f aca="false">IF(AND(AI$3&gt;=Supuestos!$B$30,AI$3&lt;=Supuestos!$B$31),Supuestos!$B$29/(Supuestos!$B$31-Supuestos!$B$30+1),0)</f>
        <v>0</v>
      </c>
      <c r="AJ18" s="22" t="n">
        <f aca="false">IF(AND(AJ$3&gt;=Supuestos!$B$30,AJ$3&lt;=Supuestos!$B$31),Supuestos!$B$29/(Supuestos!$B$31-Supuestos!$B$30+1),0)</f>
        <v>0</v>
      </c>
      <c r="AK18" s="22" t="n">
        <f aca="false">IF(AND(AK$3&gt;=Supuestos!$B$30,AK$3&lt;=Supuestos!$B$31),Supuestos!$B$29/(Supuestos!$B$31-Supuestos!$B$30+1),0)</f>
        <v>0</v>
      </c>
      <c r="AL18" s="22" t="n">
        <f aca="false">IF(AND(AL$3&gt;=Supuestos!$B$30,AL$3&lt;=Supuestos!$B$31),Supuestos!$B$29/(Supuestos!$B$31-Supuestos!$B$30+1),0)</f>
        <v>0</v>
      </c>
      <c r="AM18" s="22" t="n">
        <f aca="false">IF(AND(AM$3&gt;=Supuestos!$B$30,AM$3&lt;=Supuestos!$B$31),Supuestos!$B$29/(Supuestos!$B$31-Supuestos!$B$30+1),0)</f>
        <v>0</v>
      </c>
      <c r="AN18" s="22" t="n">
        <f aca="false">IF(AND(AN$3&gt;=Supuestos!$B$30,AN$3&lt;=Supuestos!$B$31),Supuestos!$B$29/(Supuestos!$B$31-Supuestos!$B$30+1),0)</f>
        <v>0</v>
      </c>
      <c r="AO18" s="22" t="n">
        <f aca="false">IF(AND(AO$3&gt;=Supuestos!$B$30,AO$3&lt;=Supuestos!$B$31),Supuestos!$B$29/(Supuestos!$B$31-Supuestos!$B$30+1),0)</f>
        <v>0</v>
      </c>
      <c r="AP18" s="22" t="n">
        <f aca="false">IF(AND(AP$3&gt;=Supuestos!$B$30,AP$3&lt;=Supuestos!$B$31),Supuestos!$B$29/(Supuestos!$B$31-Supuestos!$B$30+1),0)</f>
        <v>0</v>
      </c>
      <c r="AQ18" s="22" t="n">
        <f aca="false">IF(AND(AQ$3&gt;=Supuestos!$B$30,AQ$3&lt;=Supuestos!$B$31),Supuestos!$B$29/(Supuestos!$B$31-Supuestos!$B$30+1),0)</f>
        <v>0</v>
      </c>
      <c r="AR18" s="22" t="n">
        <f aca="false">IF(AND(AR$3&gt;=Supuestos!$B$30,AR$3&lt;=Supuestos!$B$31),Supuestos!$B$29/(Supuestos!$B$31-Supuestos!$B$30+1),0)</f>
        <v>0</v>
      </c>
      <c r="AS18" s="22" t="n">
        <f aca="false">IF(AND(AS$3&gt;=Supuestos!$B$30,AS$3&lt;=Supuestos!$B$31),Supuestos!$B$29/(Supuestos!$B$31-Supuestos!$B$30+1),0)</f>
        <v>0</v>
      </c>
      <c r="AT18" s="22" t="n">
        <f aca="false">IF(AND(AT$3&gt;=Supuestos!$B$30,AT$3&lt;=Supuestos!$B$31),Supuestos!$B$29/(Supuestos!$B$31-Supuestos!$B$30+1),0)</f>
        <v>0</v>
      </c>
      <c r="AU18" s="22" t="n">
        <f aca="false">IF(AND(AU$3&gt;=Supuestos!$B$30,AU$3&lt;=Supuestos!$B$31),Supuestos!$B$29/(Supuestos!$B$31-Supuestos!$B$30+1),0)</f>
        <v>0</v>
      </c>
      <c r="AV18" s="22" t="n">
        <f aca="false">IF(AND(AV$3&gt;=Supuestos!$B$30,AV$3&lt;=Supuestos!$B$31),Supuestos!$B$29/(Supuestos!$B$31-Supuestos!$B$30+1),0)</f>
        <v>0</v>
      </c>
      <c r="AW18" s="22" t="n">
        <f aca="false">IF(AND(AW$3&gt;=Supuestos!$B$30,AW$3&lt;=Supuestos!$B$31),Supuestos!$B$29/(Supuestos!$B$31-Supuestos!$B$30+1),0)</f>
        <v>0</v>
      </c>
      <c r="AX18" s="22" t="n">
        <f aca="false">IF(AND(AX$3&gt;=Supuestos!$B$30,AX$3&lt;=Supuestos!$B$31),Supuestos!$B$29/(Supuestos!$B$31-Supuestos!$B$30+1),0)</f>
        <v>0</v>
      </c>
      <c r="AY18" s="22" t="n">
        <f aca="false">IF(AND(AY$3&gt;=Supuestos!$B$30,AY$3&lt;=Supuestos!$B$31),Supuestos!$B$29/(Supuestos!$B$31-Supuestos!$B$30+1),0)</f>
        <v>0</v>
      </c>
      <c r="AZ18" s="22" t="n">
        <f aca="false">IF(AND(AZ$3&gt;=Supuestos!$B$30,AZ$3&lt;=Supuestos!$B$31),Supuestos!$B$29/(Supuestos!$B$31-Supuestos!$B$30+1),0)</f>
        <v>0</v>
      </c>
      <c r="BA18" s="22" t="n">
        <f aca="false">IF(AND(BA$3&gt;=Supuestos!$B$30,BA$3&lt;=Supuestos!$B$31),Supuestos!$B$29/(Supuestos!$B$31-Supuestos!$B$30+1),0)</f>
        <v>0</v>
      </c>
      <c r="BB18" s="22" t="n">
        <f aca="false">IF(AND(BB$3&gt;=Supuestos!$B$30,BB$3&lt;=Supuestos!$B$31),Supuestos!$B$29/(Supuestos!$B$31-Supuestos!$B$30+1),0)</f>
        <v>0</v>
      </c>
      <c r="BC18" s="22" t="n">
        <f aca="false">IF(AND(BC$3&gt;=Supuestos!$B$30,BC$3&lt;=Supuestos!$B$31),Supuestos!$B$29/(Supuestos!$B$31-Supuestos!$B$30+1),0)</f>
        <v>0</v>
      </c>
      <c r="BD18" s="22" t="n">
        <f aca="false">IF(AND(BD$3&gt;=Supuestos!$B$30,BD$3&lt;=Supuestos!$B$31),Supuestos!$B$29/(Supuestos!$B$31-Supuestos!$B$30+1),0)</f>
        <v>0</v>
      </c>
      <c r="BE18" s="22" t="n">
        <f aca="false">IF(AND(BE$3&gt;=Supuestos!$B$30,BE$3&lt;=Supuestos!$B$31),Supuestos!$B$29/(Supuestos!$B$31-Supuestos!$B$30+1),0)</f>
        <v>0</v>
      </c>
      <c r="BF18" s="22" t="n">
        <f aca="false">IF(AND(BF$3&gt;=Supuestos!$B$30,BF$3&lt;=Supuestos!$B$31),Supuestos!$B$29/(Supuestos!$B$31-Supuestos!$B$30+1),0)</f>
        <v>0</v>
      </c>
      <c r="BG18" s="22" t="n">
        <f aca="false">IF(AND(BG$3&gt;=Supuestos!$B$30,BG$3&lt;=Supuestos!$B$31),Supuestos!$B$29/(Supuestos!$B$31-Supuestos!$B$30+1),0)</f>
        <v>0</v>
      </c>
      <c r="BH18" s="22" t="n">
        <f aca="false">IF(AND(BH$3&gt;=Supuestos!$B$30,BH$3&lt;=Supuestos!$B$31),Supuestos!$B$29/(Supuestos!$B$31-Supuestos!$B$30+1),0)</f>
        <v>0</v>
      </c>
      <c r="BI18" s="22" t="n">
        <f aca="false">IF(AND(BI$3&gt;=Supuestos!$B$30,BI$3&lt;=Supuestos!$B$31),Supuestos!$B$29/(Supuestos!$B$31-Supuestos!$B$30+1),0)</f>
        <v>0</v>
      </c>
      <c r="BJ18" s="22" t="n">
        <f aca="false">IF(AND(BJ$3&gt;=Supuestos!$B$30,BJ$3&lt;=Supuestos!$B$31),Supuestos!$B$29/(Supuestos!$B$31-Supuestos!$B$30+1),0)</f>
        <v>0</v>
      </c>
      <c r="BK18" s="22" t="n">
        <f aca="false">IF(AND(BK$3&gt;=Supuestos!$B$30,BK$3&lt;=Supuestos!$B$31),Supuestos!$B$29/(Supuestos!$B$31-Supuestos!$B$30+1),0)</f>
        <v>0</v>
      </c>
      <c r="BL18" s="22" t="n">
        <f aca="false">IF(AND(BL$3&gt;=Supuestos!$B$30,BL$3&lt;=Supuestos!$B$31),Supuestos!$B$29/(Supuestos!$B$31-Supuestos!$B$30+1),0)</f>
        <v>0</v>
      </c>
      <c r="BM18" s="22" t="n">
        <f aca="false">IF(AND(BM$3&gt;=Supuestos!$B$30,BM$3&lt;=Supuestos!$B$31),Supuestos!$B$29/(Supuestos!$B$31-Supuestos!$B$30+1),0)</f>
        <v>0</v>
      </c>
      <c r="BN18" s="22" t="n">
        <f aca="false">IF(AND(BN$3&gt;=Supuestos!$B$30,BN$3&lt;=Supuestos!$B$31),Supuestos!$B$29/(Supuestos!$B$31-Supuestos!$B$30+1),0)</f>
        <v>0</v>
      </c>
      <c r="BO18" s="22" t="n">
        <f aca="false">IF(AND(BO$3&gt;=Supuestos!$B$30,BO$3&lt;=Supuestos!$B$31),Supuestos!$B$29/(Supuestos!$B$31-Supuestos!$B$30+1),0)</f>
        <v>0</v>
      </c>
      <c r="BP18" s="22" t="n">
        <f aca="false">IF(AND(BP$3&gt;=Supuestos!$B$30,BP$3&lt;=Supuestos!$B$31),Supuestos!$B$29/(Supuestos!$B$31-Supuestos!$B$30+1),0)</f>
        <v>0</v>
      </c>
      <c r="BQ18" s="22" t="n">
        <f aca="false">IF(AND(BQ$3&gt;=Supuestos!$B$30,BQ$3&lt;=Supuestos!$B$31),Supuestos!$B$29/(Supuestos!$B$31-Supuestos!$B$30+1),0)</f>
        <v>0</v>
      </c>
      <c r="BR18" s="22" t="n">
        <f aca="false">IF(AND(BR$3&gt;=Supuestos!$B$30,BR$3&lt;=Supuestos!$B$31),Supuestos!$B$29/(Supuestos!$B$31-Supuestos!$B$30+1),0)</f>
        <v>0</v>
      </c>
      <c r="BS18" s="22" t="n">
        <f aca="false">IF(AND(BS$3&gt;=Supuestos!$B$30,BS$3&lt;=Supuestos!$B$31),Supuestos!$B$29/(Supuestos!$B$31-Supuestos!$B$30+1),0)</f>
        <v>0</v>
      </c>
      <c r="BT18" s="22" t="n">
        <f aca="false">IF(AND(BT$3&gt;=Supuestos!$B$30,BT$3&lt;=Supuestos!$B$31),Supuestos!$B$29/(Supuestos!$B$31-Supuestos!$B$30+1),0)</f>
        <v>0</v>
      </c>
      <c r="BU18" s="22" t="n">
        <f aca="false">IF(AND(BU$3&gt;=Supuestos!$B$30,BU$3&lt;=Supuestos!$B$31),Supuestos!$B$29/(Supuestos!$B$31-Supuestos!$B$30+1),0)</f>
        <v>0</v>
      </c>
      <c r="BV18" s="22" t="n">
        <f aca="false">IF(AND(BV$3&gt;=Supuestos!$B$30,BV$3&lt;=Supuestos!$B$31),Supuestos!$B$29/(Supuestos!$B$31-Supuestos!$B$30+1),0)</f>
        <v>0</v>
      </c>
      <c r="BW18" s="22" t="n">
        <f aca="false">IF(AND(BW$3&gt;=Supuestos!$B$30,BW$3&lt;=Supuestos!$B$31),Supuestos!$B$29/(Supuestos!$B$31-Supuestos!$B$30+1),0)</f>
        <v>0</v>
      </c>
      <c r="BX18" s="22" t="n">
        <f aca="false">IF(AND(BX$3&gt;=Supuestos!$B$30,BX$3&lt;=Supuestos!$B$31),Supuestos!$B$29/(Supuestos!$B$31-Supuestos!$B$30+1),0)</f>
        <v>0</v>
      </c>
      <c r="BY18" s="22" t="n">
        <f aca="false">IF(AND(BY$3&gt;=Supuestos!$B$30,BY$3&lt;=Supuestos!$B$31),Supuestos!$B$29/(Supuestos!$B$31-Supuestos!$B$30+1),0)</f>
        <v>0</v>
      </c>
      <c r="BZ18" s="22" t="n">
        <f aca="false">IF(AND(BZ$3&gt;=Supuestos!$B$30,BZ$3&lt;=Supuestos!$B$31),Supuestos!$B$29/(Supuestos!$B$31-Supuestos!$B$30+1),0)</f>
        <v>0</v>
      </c>
      <c r="CA18" s="22" t="n">
        <f aca="false">IF(AND(CA$3&gt;=Supuestos!$B$30,CA$3&lt;=Supuestos!$B$31),Supuestos!$B$29/(Supuestos!$B$31-Supuestos!$B$30+1),0)</f>
        <v>0</v>
      </c>
      <c r="CB18" s="22" t="n">
        <f aca="false">IF(AND(CB$3&gt;=Supuestos!$B$30,CB$3&lt;=Supuestos!$B$31),Supuestos!$B$29/(Supuestos!$B$31-Supuestos!$B$30+1),0)</f>
        <v>0</v>
      </c>
      <c r="CC18" s="22" t="n">
        <f aca="false">IF(AND(CC$3&gt;=Supuestos!$B$30,CC$3&lt;=Supuestos!$B$31),Supuestos!$B$29/(Supuestos!$B$31-Supuestos!$B$30+1),0)</f>
        <v>0</v>
      </c>
      <c r="CD18" s="22" t="n">
        <f aca="false">IF(AND(CD$3&gt;=Supuestos!$B$30,CD$3&lt;=Supuestos!$B$31),Supuestos!$B$29/(Supuestos!$B$31-Supuestos!$B$30+1),0)</f>
        <v>0</v>
      </c>
      <c r="CE18" s="22" t="n">
        <f aca="false">IF(AND(CE$3&gt;=Supuestos!$B$30,CE$3&lt;=Supuestos!$B$31),Supuestos!$B$29/(Supuestos!$B$31-Supuestos!$B$30+1),0)</f>
        <v>0</v>
      </c>
      <c r="CF18" s="22" t="n">
        <f aca="false">IF(AND(CF$3&gt;=Supuestos!$B$30,CF$3&lt;=Supuestos!$B$31),Supuestos!$B$29/(Supuestos!$B$31-Supuestos!$B$30+1),0)</f>
        <v>0</v>
      </c>
      <c r="CG18" s="22" t="n">
        <f aca="false">IF(AND(CG$3&gt;=Supuestos!$B$30,CG$3&lt;=Supuestos!$B$31),Supuestos!$B$29/(Supuestos!$B$31-Supuestos!$B$30+1),0)</f>
        <v>0</v>
      </c>
      <c r="CH18" s="22" t="n">
        <f aca="false">IF(AND(CH$3&gt;=Supuestos!$B$30,CH$3&lt;=Supuestos!$B$31),Supuestos!$B$29/(Supuestos!$B$31-Supuestos!$B$30+1),0)</f>
        <v>0</v>
      </c>
    </row>
    <row r="19" customFormat="false" ht="15" hidden="false" customHeight="false" outlineLevel="0" collapsed="false">
      <c r="A19" s="6" t="s">
        <v>9</v>
      </c>
      <c r="B19" s="9" t="n">
        <f aca="false">SUM(C19:CH19)</f>
        <v>1530000</v>
      </c>
      <c r="C19" s="22" t="n">
        <f aca="false">IF(AND(C$3&gt;=Supuestos!$B$33,C$3&lt;=Supuestos!$B$34),(Supuestos!$B$7+Supuestos!$B$8)*Supuestos!$B$32/(Supuestos!$B$34-Supuestos!$B$33+1),0)</f>
        <v>0</v>
      </c>
      <c r="D19" s="22" t="n">
        <f aca="false">IF(AND(D$3&gt;=Supuestos!$B$33,D$3&lt;=Supuestos!$B$34),(Supuestos!$B$7+Supuestos!$B$8)*Supuestos!$B$32/(Supuestos!$B$34-Supuestos!$B$33+1),0)</f>
        <v>0</v>
      </c>
      <c r="E19" s="22" t="n">
        <f aca="false">IF(AND(E$3&gt;=Supuestos!$B$33,E$3&lt;=Supuestos!$B$34),(Supuestos!$B$7+Supuestos!$B$8)*Supuestos!$B$32/(Supuestos!$B$34-Supuestos!$B$33+1),0)</f>
        <v>0</v>
      </c>
      <c r="F19" s="22" t="n">
        <f aca="false">IF(AND(F$3&gt;=Supuestos!$B$33,F$3&lt;=Supuestos!$B$34),(Supuestos!$B$7+Supuestos!$B$8)*Supuestos!$B$32/(Supuestos!$B$34-Supuestos!$B$33+1),0)</f>
        <v>0</v>
      </c>
      <c r="G19" s="22" t="n">
        <f aca="false">IF(AND(G$3&gt;=Supuestos!$B$33,G$3&lt;=Supuestos!$B$34),(Supuestos!$B$7+Supuestos!$B$8)*Supuestos!$B$32/(Supuestos!$B$34-Supuestos!$B$33+1),0)</f>
        <v>0</v>
      </c>
      <c r="H19" s="22" t="n">
        <f aca="false">IF(AND(H$3&gt;=Supuestos!$B$33,H$3&lt;=Supuestos!$B$34),(Supuestos!$B$7+Supuestos!$B$8)*Supuestos!$B$32/(Supuestos!$B$34-Supuestos!$B$33+1),0)</f>
        <v>0</v>
      </c>
      <c r="I19" s="22" t="n">
        <f aca="false">IF(AND(I$3&gt;=Supuestos!$B$33,I$3&lt;=Supuestos!$B$34),(Supuestos!$B$7+Supuestos!$B$8)*Supuestos!$B$32/(Supuestos!$B$34-Supuestos!$B$33+1),0)</f>
        <v>0</v>
      </c>
      <c r="J19" s="22" t="n">
        <f aca="false">IF(AND(J$3&gt;=Supuestos!$B$33,J$3&lt;=Supuestos!$B$34),(Supuestos!$B$7+Supuestos!$B$8)*Supuestos!$B$32/(Supuestos!$B$34-Supuestos!$B$33+1),0)</f>
        <v>0</v>
      </c>
      <c r="K19" s="22" t="n">
        <f aca="false">IF(AND(K$3&gt;=Supuestos!$B$33,K$3&lt;=Supuestos!$B$34),(Supuestos!$B$7+Supuestos!$B$8)*Supuestos!$B$32/(Supuestos!$B$34-Supuestos!$B$33+1),0)</f>
        <v>0</v>
      </c>
      <c r="L19" s="22" t="n">
        <f aca="false">IF(AND(L$3&gt;=Supuestos!$B$33,L$3&lt;=Supuestos!$B$34),(Supuestos!$B$7+Supuestos!$B$8)*Supuestos!$B$32/(Supuestos!$B$34-Supuestos!$B$33+1),0)</f>
        <v>117692.307692308</v>
      </c>
      <c r="M19" s="22" t="n">
        <f aca="false">IF(AND(M$3&gt;=Supuestos!$B$33,M$3&lt;=Supuestos!$B$34),(Supuestos!$B$7+Supuestos!$B$8)*Supuestos!$B$32/(Supuestos!$B$34-Supuestos!$B$33+1),0)</f>
        <v>117692.307692308</v>
      </c>
      <c r="N19" s="22" t="n">
        <f aca="false">IF(AND(N$3&gt;=Supuestos!$B$33,N$3&lt;=Supuestos!$B$34),(Supuestos!$B$7+Supuestos!$B$8)*Supuestos!$B$32/(Supuestos!$B$34-Supuestos!$B$33+1),0)</f>
        <v>117692.307692308</v>
      </c>
      <c r="O19" s="22" t="n">
        <f aca="false">IF(AND(O$3&gt;=Supuestos!$B$33,O$3&lt;=Supuestos!$B$34),(Supuestos!$B$7+Supuestos!$B$8)*Supuestos!$B$32/(Supuestos!$B$34-Supuestos!$B$33+1),0)</f>
        <v>117692.307692308</v>
      </c>
      <c r="P19" s="22" t="n">
        <f aca="false">IF(AND(P$3&gt;=Supuestos!$B$33,P$3&lt;=Supuestos!$B$34),(Supuestos!$B$7+Supuestos!$B$8)*Supuestos!$B$32/(Supuestos!$B$34-Supuestos!$B$33+1),0)</f>
        <v>117692.307692308</v>
      </c>
      <c r="Q19" s="22" t="n">
        <f aca="false">IF(AND(Q$3&gt;=Supuestos!$B$33,Q$3&lt;=Supuestos!$B$34),(Supuestos!$B$7+Supuestos!$B$8)*Supuestos!$B$32/(Supuestos!$B$34-Supuestos!$B$33+1),0)</f>
        <v>117692.307692308</v>
      </c>
      <c r="R19" s="22" t="n">
        <f aca="false">IF(AND(R$3&gt;=Supuestos!$B$33,R$3&lt;=Supuestos!$B$34),(Supuestos!$B$7+Supuestos!$B$8)*Supuestos!$B$32/(Supuestos!$B$34-Supuestos!$B$33+1),0)</f>
        <v>117692.307692308</v>
      </c>
      <c r="S19" s="22" t="n">
        <f aca="false">IF(AND(S$3&gt;=Supuestos!$B$33,S$3&lt;=Supuestos!$B$34),(Supuestos!$B$7+Supuestos!$B$8)*Supuestos!$B$32/(Supuestos!$B$34-Supuestos!$B$33+1),0)</f>
        <v>117692.307692308</v>
      </c>
      <c r="T19" s="22" t="n">
        <f aca="false">IF(AND(T$3&gt;=Supuestos!$B$33,T$3&lt;=Supuestos!$B$34),(Supuestos!$B$7+Supuestos!$B$8)*Supuestos!$B$32/(Supuestos!$B$34-Supuestos!$B$33+1),0)</f>
        <v>117692.307692308</v>
      </c>
      <c r="U19" s="22" t="n">
        <f aca="false">IF(AND(U$3&gt;=Supuestos!$B$33,U$3&lt;=Supuestos!$B$34),(Supuestos!$B$7+Supuestos!$B$8)*Supuestos!$B$32/(Supuestos!$B$34-Supuestos!$B$33+1),0)</f>
        <v>117692.307692308</v>
      </c>
      <c r="V19" s="22" t="n">
        <f aca="false">IF(AND(V$3&gt;=Supuestos!$B$33,V$3&lt;=Supuestos!$B$34),(Supuestos!$B$7+Supuestos!$B$8)*Supuestos!$B$32/(Supuestos!$B$34-Supuestos!$B$33+1),0)</f>
        <v>117692.307692308</v>
      </c>
      <c r="W19" s="22" t="n">
        <f aca="false">IF(AND(W$3&gt;=Supuestos!$B$33,W$3&lt;=Supuestos!$B$34),(Supuestos!$B$7+Supuestos!$B$8)*Supuestos!$B$32/(Supuestos!$B$34-Supuestos!$B$33+1),0)</f>
        <v>117692.307692308</v>
      </c>
      <c r="X19" s="22" t="n">
        <f aca="false">IF(AND(X$3&gt;=Supuestos!$B$33,X$3&lt;=Supuestos!$B$34),(Supuestos!$B$7+Supuestos!$B$8)*Supuestos!$B$32/(Supuestos!$B$34-Supuestos!$B$33+1),0)</f>
        <v>117692.307692308</v>
      </c>
      <c r="Y19" s="22" t="n">
        <f aca="false">IF(AND(Y$3&gt;=Supuestos!$B$33,Y$3&lt;=Supuestos!$B$34),(Supuestos!$B$7+Supuestos!$B$8)*Supuestos!$B$32/(Supuestos!$B$34-Supuestos!$B$33+1),0)</f>
        <v>0</v>
      </c>
      <c r="Z19" s="22" t="n">
        <f aca="false">IF(AND(Z$3&gt;=Supuestos!$B$33,Z$3&lt;=Supuestos!$B$34),(Supuestos!$B$7+Supuestos!$B$8)*Supuestos!$B$32/(Supuestos!$B$34-Supuestos!$B$33+1),0)</f>
        <v>0</v>
      </c>
      <c r="AA19" s="22" t="n">
        <f aca="false">IF(AND(AA$3&gt;=Supuestos!$B$33,AA$3&lt;=Supuestos!$B$34),(Supuestos!$B$7+Supuestos!$B$8)*Supuestos!$B$32/(Supuestos!$B$34-Supuestos!$B$33+1),0)</f>
        <v>0</v>
      </c>
      <c r="AB19" s="22" t="n">
        <f aca="false">IF(AND(AB$3&gt;=Supuestos!$B$33,AB$3&lt;=Supuestos!$B$34),(Supuestos!$B$7+Supuestos!$B$8)*Supuestos!$B$32/(Supuestos!$B$34-Supuestos!$B$33+1),0)</f>
        <v>0</v>
      </c>
      <c r="AC19" s="22" t="n">
        <f aca="false">IF(AND(AC$3&gt;=Supuestos!$B$33,AC$3&lt;=Supuestos!$B$34),(Supuestos!$B$7+Supuestos!$B$8)*Supuestos!$B$32/(Supuestos!$B$34-Supuestos!$B$33+1),0)</f>
        <v>0</v>
      </c>
      <c r="AD19" s="22" t="n">
        <f aca="false">IF(AND(AD$3&gt;=Supuestos!$B$33,AD$3&lt;=Supuestos!$B$34),(Supuestos!$B$7+Supuestos!$B$8)*Supuestos!$B$32/(Supuestos!$B$34-Supuestos!$B$33+1),0)</f>
        <v>0</v>
      </c>
      <c r="AE19" s="22" t="n">
        <f aca="false">IF(AND(AE$3&gt;=Supuestos!$B$33,AE$3&lt;=Supuestos!$B$34),(Supuestos!$B$7+Supuestos!$B$8)*Supuestos!$B$32/(Supuestos!$B$34-Supuestos!$B$33+1),0)</f>
        <v>0</v>
      </c>
      <c r="AF19" s="22" t="n">
        <f aca="false">IF(AND(AF$3&gt;=Supuestos!$B$33,AF$3&lt;=Supuestos!$B$34),(Supuestos!$B$7+Supuestos!$B$8)*Supuestos!$B$32/(Supuestos!$B$34-Supuestos!$B$33+1),0)</f>
        <v>0</v>
      </c>
      <c r="AG19" s="22" t="n">
        <f aca="false">IF(AND(AG$3&gt;=Supuestos!$B$33,AG$3&lt;=Supuestos!$B$34),(Supuestos!$B$7+Supuestos!$B$8)*Supuestos!$B$32/(Supuestos!$B$34-Supuestos!$B$33+1),0)</f>
        <v>0</v>
      </c>
      <c r="AH19" s="22" t="n">
        <f aca="false">IF(AND(AH$3&gt;=Supuestos!$B$33,AH$3&lt;=Supuestos!$B$34),(Supuestos!$B$7+Supuestos!$B$8)*Supuestos!$B$32/(Supuestos!$B$34-Supuestos!$B$33+1),0)</f>
        <v>0</v>
      </c>
      <c r="AI19" s="22" t="n">
        <f aca="false">IF(AND(AI$3&gt;=Supuestos!$B$33,AI$3&lt;=Supuestos!$B$34),(Supuestos!$B$7+Supuestos!$B$8)*Supuestos!$B$32/(Supuestos!$B$34-Supuestos!$B$33+1),0)</f>
        <v>0</v>
      </c>
      <c r="AJ19" s="22" t="n">
        <f aca="false">IF(AND(AJ$3&gt;=Supuestos!$B$33,AJ$3&lt;=Supuestos!$B$34),(Supuestos!$B$7+Supuestos!$B$8)*Supuestos!$B$32/(Supuestos!$B$34-Supuestos!$B$33+1),0)</f>
        <v>0</v>
      </c>
      <c r="AK19" s="22" t="n">
        <f aca="false">IF(AND(AK$3&gt;=Supuestos!$B$33,AK$3&lt;=Supuestos!$B$34),(Supuestos!$B$7+Supuestos!$B$8)*Supuestos!$B$32/(Supuestos!$B$34-Supuestos!$B$33+1),0)</f>
        <v>0</v>
      </c>
      <c r="AL19" s="22" t="n">
        <f aca="false">IF(AND(AL$3&gt;=Supuestos!$B$33,AL$3&lt;=Supuestos!$B$34),(Supuestos!$B$7+Supuestos!$B$8)*Supuestos!$B$32/(Supuestos!$B$34-Supuestos!$B$33+1),0)</f>
        <v>0</v>
      </c>
      <c r="AM19" s="22" t="n">
        <f aca="false">IF(AND(AM$3&gt;=Supuestos!$B$33,AM$3&lt;=Supuestos!$B$34),(Supuestos!$B$7+Supuestos!$B$8)*Supuestos!$B$32/(Supuestos!$B$34-Supuestos!$B$33+1),0)</f>
        <v>0</v>
      </c>
      <c r="AN19" s="22" t="n">
        <f aca="false">IF(AND(AN$3&gt;=Supuestos!$B$33,AN$3&lt;=Supuestos!$B$34),(Supuestos!$B$7+Supuestos!$B$8)*Supuestos!$B$32/(Supuestos!$B$34-Supuestos!$B$33+1),0)</f>
        <v>0</v>
      </c>
      <c r="AO19" s="22" t="n">
        <f aca="false">IF(AND(AO$3&gt;=Supuestos!$B$33,AO$3&lt;=Supuestos!$B$34),(Supuestos!$B$7+Supuestos!$B$8)*Supuestos!$B$32/(Supuestos!$B$34-Supuestos!$B$33+1),0)</f>
        <v>0</v>
      </c>
      <c r="AP19" s="22" t="n">
        <f aca="false">IF(AND(AP$3&gt;=Supuestos!$B$33,AP$3&lt;=Supuestos!$B$34),(Supuestos!$B$7+Supuestos!$B$8)*Supuestos!$B$32/(Supuestos!$B$34-Supuestos!$B$33+1),0)</f>
        <v>0</v>
      </c>
      <c r="AQ19" s="22" t="n">
        <f aca="false">IF(AND(AQ$3&gt;=Supuestos!$B$33,AQ$3&lt;=Supuestos!$B$34),(Supuestos!$B$7+Supuestos!$B$8)*Supuestos!$B$32/(Supuestos!$B$34-Supuestos!$B$33+1),0)</f>
        <v>0</v>
      </c>
      <c r="AR19" s="22" t="n">
        <f aca="false">IF(AND(AR$3&gt;=Supuestos!$B$33,AR$3&lt;=Supuestos!$B$34),(Supuestos!$B$7+Supuestos!$B$8)*Supuestos!$B$32/(Supuestos!$B$34-Supuestos!$B$33+1),0)</f>
        <v>0</v>
      </c>
      <c r="AS19" s="22" t="n">
        <f aca="false">IF(AND(AS$3&gt;=Supuestos!$B$33,AS$3&lt;=Supuestos!$B$34),(Supuestos!$B$7+Supuestos!$B$8)*Supuestos!$B$32/(Supuestos!$B$34-Supuestos!$B$33+1),0)</f>
        <v>0</v>
      </c>
      <c r="AT19" s="22" t="n">
        <f aca="false">IF(AND(AT$3&gt;=Supuestos!$B$33,AT$3&lt;=Supuestos!$B$34),(Supuestos!$B$7+Supuestos!$B$8)*Supuestos!$B$32/(Supuestos!$B$34-Supuestos!$B$33+1),0)</f>
        <v>0</v>
      </c>
      <c r="AU19" s="22" t="n">
        <f aca="false">IF(AND(AU$3&gt;=Supuestos!$B$33,AU$3&lt;=Supuestos!$B$34),(Supuestos!$B$7+Supuestos!$B$8)*Supuestos!$B$32/(Supuestos!$B$34-Supuestos!$B$33+1),0)</f>
        <v>0</v>
      </c>
      <c r="AV19" s="22" t="n">
        <f aca="false">IF(AND(AV$3&gt;=Supuestos!$B$33,AV$3&lt;=Supuestos!$B$34),(Supuestos!$B$7+Supuestos!$B$8)*Supuestos!$B$32/(Supuestos!$B$34-Supuestos!$B$33+1),0)</f>
        <v>0</v>
      </c>
      <c r="AW19" s="22" t="n">
        <f aca="false">IF(AND(AW$3&gt;=Supuestos!$B$33,AW$3&lt;=Supuestos!$B$34),(Supuestos!$B$7+Supuestos!$B$8)*Supuestos!$B$32/(Supuestos!$B$34-Supuestos!$B$33+1),0)</f>
        <v>0</v>
      </c>
      <c r="AX19" s="22" t="n">
        <f aca="false">IF(AND(AX$3&gt;=Supuestos!$B$33,AX$3&lt;=Supuestos!$B$34),(Supuestos!$B$7+Supuestos!$B$8)*Supuestos!$B$32/(Supuestos!$B$34-Supuestos!$B$33+1),0)</f>
        <v>0</v>
      </c>
      <c r="AY19" s="22" t="n">
        <f aca="false">IF(AND(AY$3&gt;=Supuestos!$B$33,AY$3&lt;=Supuestos!$B$34),(Supuestos!$B$7+Supuestos!$B$8)*Supuestos!$B$32/(Supuestos!$B$34-Supuestos!$B$33+1),0)</f>
        <v>0</v>
      </c>
      <c r="AZ19" s="22" t="n">
        <f aca="false">IF(AND(AZ$3&gt;=Supuestos!$B$33,AZ$3&lt;=Supuestos!$B$34),(Supuestos!$B$7+Supuestos!$B$8)*Supuestos!$B$32/(Supuestos!$B$34-Supuestos!$B$33+1),0)</f>
        <v>0</v>
      </c>
      <c r="BA19" s="22" t="n">
        <f aca="false">IF(AND(BA$3&gt;=Supuestos!$B$33,BA$3&lt;=Supuestos!$B$34),(Supuestos!$B$7+Supuestos!$B$8)*Supuestos!$B$32/(Supuestos!$B$34-Supuestos!$B$33+1),0)</f>
        <v>0</v>
      </c>
      <c r="BB19" s="22" t="n">
        <f aca="false">IF(AND(BB$3&gt;=Supuestos!$B$33,BB$3&lt;=Supuestos!$B$34),(Supuestos!$B$7+Supuestos!$B$8)*Supuestos!$B$32/(Supuestos!$B$34-Supuestos!$B$33+1),0)</f>
        <v>0</v>
      </c>
      <c r="BC19" s="22" t="n">
        <f aca="false">IF(AND(BC$3&gt;=Supuestos!$B$33,BC$3&lt;=Supuestos!$B$34),(Supuestos!$B$7+Supuestos!$B$8)*Supuestos!$B$32/(Supuestos!$B$34-Supuestos!$B$33+1),0)</f>
        <v>0</v>
      </c>
      <c r="BD19" s="22" t="n">
        <f aca="false">IF(AND(BD$3&gt;=Supuestos!$B$33,BD$3&lt;=Supuestos!$B$34),(Supuestos!$B$7+Supuestos!$B$8)*Supuestos!$B$32/(Supuestos!$B$34-Supuestos!$B$33+1),0)</f>
        <v>0</v>
      </c>
      <c r="BE19" s="22" t="n">
        <f aca="false">IF(AND(BE$3&gt;=Supuestos!$B$33,BE$3&lt;=Supuestos!$B$34),(Supuestos!$B$7+Supuestos!$B$8)*Supuestos!$B$32/(Supuestos!$B$34-Supuestos!$B$33+1),0)</f>
        <v>0</v>
      </c>
      <c r="BF19" s="22" t="n">
        <f aca="false">IF(AND(BF$3&gt;=Supuestos!$B$33,BF$3&lt;=Supuestos!$B$34),(Supuestos!$B$7+Supuestos!$B$8)*Supuestos!$B$32/(Supuestos!$B$34-Supuestos!$B$33+1),0)</f>
        <v>0</v>
      </c>
      <c r="BG19" s="22" t="n">
        <f aca="false">IF(AND(BG$3&gt;=Supuestos!$B$33,BG$3&lt;=Supuestos!$B$34),(Supuestos!$B$7+Supuestos!$B$8)*Supuestos!$B$32/(Supuestos!$B$34-Supuestos!$B$33+1),0)</f>
        <v>0</v>
      </c>
      <c r="BH19" s="22" t="n">
        <f aca="false">IF(AND(BH$3&gt;=Supuestos!$B$33,BH$3&lt;=Supuestos!$B$34),(Supuestos!$B$7+Supuestos!$B$8)*Supuestos!$B$32/(Supuestos!$B$34-Supuestos!$B$33+1),0)</f>
        <v>0</v>
      </c>
      <c r="BI19" s="22" t="n">
        <f aca="false">IF(AND(BI$3&gt;=Supuestos!$B$33,BI$3&lt;=Supuestos!$B$34),(Supuestos!$B$7+Supuestos!$B$8)*Supuestos!$B$32/(Supuestos!$B$34-Supuestos!$B$33+1),0)</f>
        <v>0</v>
      </c>
      <c r="BJ19" s="22" t="n">
        <f aca="false">IF(AND(BJ$3&gt;=Supuestos!$B$33,BJ$3&lt;=Supuestos!$B$34),(Supuestos!$B$7+Supuestos!$B$8)*Supuestos!$B$32/(Supuestos!$B$34-Supuestos!$B$33+1),0)</f>
        <v>0</v>
      </c>
      <c r="BK19" s="22" t="n">
        <f aca="false">IF(AND(BK$3&gt;=Supuestos!$B$33,BK$3&lt;=Supuestos!$B$34),(Supuestos!$B$7+Supuestos!$B$8)*Supuestos!$B$32/(Supuestos!$B$34-Supuestos!$B$33+1),0)</f>
        <v>0</v>
      </c>
      <c r="BL19" s="22" t="n">
        <f aca="false">IF(AND(BL$3&gt;=Supuestos!$B$33,BL$3&lt;=Supuestos!$B$34),(Supuestos!$B$7+Supuestos!$B$8)*Supuestos!$B$32/(Supuestos!$B$34-Supuestos!$B$33+1),0)</f>
        <v>0</v>
      </c>
      <c r="BM19" s="22" t="n">
        <f aca="false">IF(AND(BM$3&gt;=Supuestos!$B$33,BM$3&lt;=Supuestos!$B$34),(Supuestos!$B$7+Supuestos!$B$8)*Supuestos!$B$32/(Supuestos!$B$34-Supuestos!$B$33+1),0)</f>
        <v>0</v>
      </c>
      <c r="BN19" s="22" t="n">
        <f aca="false">IF(AND(BN$3&gt;=Supuestos!$B$33,BN$3&lt;=Supuestos!$B$34),(Supuestos!$B$7+Supuestos!$B$8)*Supuestos!$B$32/(Supuestos!$B$34-Supuestos!$B$33+1),0)</f>
        <v>0</v>
      </c>
      <c r="BO19" s="22" t="n">
        <f aca="false">IF(AND(BO$3&gt;=Supuestos!$B$33,BO$3&lt;=Supuestos!$B$34),(Supuestos!$B$7+Supuestos!$B$8)*Supuestos!$B$32/(Supuestos!$B$34-Supuestos!$B$33+1),0)</f>
        <v>0</v>
      </c>
      <c r="BP19" s="22" t="n">
        <f aca="false">IF(AND(BP$3&gt;=Supuestos!$B$33,BP$3&lt;=Supuestos!$B$34),(Supuestos!$B$7+Supuestos!$B$8)*Supuestos!$B$32/(Supuestos!$B$34-Supuestos!$B$33+1),0)</f>
        <v>0</v>
      </c>
      <c r="BQ19" s="22" t="n">
        <f aca="false">IF(AND(BQ$3&gt;=Supuestos!$B$33,BQ$3&lt;=Supuestos!$B$34),(Supuestos!$B$7+Supuestos!$B$8)*Supuestos!$B$32/(Supuestos!$B$34-Supuestos!$B$33+1),0)</f>
        <v>0</v>
      </c>
      <c r="BR19" s="22" t="n">
        <f aca="false">IF(AND(BR$3&gt;=Supuestos!$B$33,BR$3&lt;=Supuestos!$B$34),(Supuestos!$B$7+Supuestos!$B$8)*Supuestos!$B$32/(Supuestos!$B$34-Supuestos!$B$33+1),0)</f>
        <v>0</v>
      </c>
      <c r="BS19" s="22" t="n">
        <f aca="false">IF(AND(BS$3&gt;=Supuestos!$B$33,BS$3&lt;=Supuestos!$B$34),(Supuestos!$B$7+Supuestos!$B$8)*Supuestos!$B$32/(Supuestos!$B$34-Supuestos!$B$33+1),0)</f>
        <v>0</v>
      </c>
      <c r="BT19" s="22" t="n">
        <f aca="false">IF(AND(BT$3&gt;=Supuestos!$B$33,BT$3&lt;=Supuestos!$B$34),(Supuestos!$B$7+Supuestos!$B$8)*Supuestos!$B$32/(Supuestos!$B$34-Supuestos!$B$33+1),0)</f>
        <v>0</v>
      </c>
      <c r="BU19" s="22" t="n">
        <f aca="false">IF(AND(BU$3&gt;=Supuestos!$B$33,BU$3&lt;=Supuestos!$B$34),(Supuestos!$B$7+Supuestos!$B$8)*Supuestos!$B$32/(Supuestos!$B$34-Supuestos!$B$33+1),0)</f>
        <v>0</v>
      </c>
      <c r="BV19" s="22" t="n">
        <f aca="false">IF(AND(BV$3&gt;=Supuestos!$B$33,BV$3&lt;=Supuestos!$B$34),(Supuestos!$B$7+Supuestos!$B$8)*Supuestos!$B$32/(Supuestos!$B$34-Supuestos!$B$33+1),0)</f>
        <v>0</v>
      </c>
      <c r="BW19" s="22" t="n">
        <f aca="false">IF(AND(BW$3&gt;=Supuestos!$B$33,BW$3&lt;=Supuestos!$B$34),(Supuestos!$B$7+Supuestos!$B$8)*Supuestos!$B$32/(Supuestos!$B$34-Supuestos!$B$33+1),0)</f>
        <v>0</v>
      </c>
      <c r="BX19" s="22" t="n">
        <f aca="false">IF(AND(BX$3&gt;=Supuestos!$B$33,BX$3&lt;=Supuestos!$B$34),(Supuestos!$B$7+Supuestos!$B$8)*Supuestos!$B$32/(Supuestos!$B$34-Supuestos!$B$33+1),0)</f>
        <v>0</v>
      </c>
      <c r="BY19" s="22" t="n">
        <f aca="false">IF(AND(BY$3&gt;=Supuestos!$B$33,BY$3&lt;=Supuestos!$B$34),(Supuestos!$B$7+Supuestos!$B$8)*Supuestos!$B$32/(Supuestos!$B$34-Supuestos!$B$33+1),0)</f>
        <v>0</v>
      </c>
      <c r="BZ19" s="22" t="n">
        <f aca="false">IF(AND(BZ$3&gt;=Supuestos!$B$33,BZ$3&lt;=Supuestos!$B$34),(Supuestos!$B$7+Supuestos!$B$8)*Supuestos!$B$32/(Supuestos!$B$34-Supuestos!$B$33+1),0)</f>
        <v>0</v>
      </c>
      <c r="CA19" s="22" t="n">
        <f aca="false">IF(AND(CA$3&gt;=Supuestos!$B$33,CA$3&lt;=Supuestos!$B$34),(Supuestos!$B$7+Supuestos!$B$8)*Supuestos!$B$32/(Supuestos!$B$34-Supuestos!$B$33+1),0)</f>
        <v>0</v>
      </c>
      <c r="CB19" s="22" t="n">
        <f aca="false">IF(AND(CB$3&gt;=Supuestos!$B$33,CB$3&lt;=Supuestos!$B$34),(Supuestos!$B$7+Supuestos!$B$8)*Supuestos!$B$32/(Supuestos!$B$34-Supuestos!$B$33+1),0)</f>
        <v>0</v>
      </c>
      <c r="CC19" s="22" t="n">
        <f aca="false">IF(AND(CC$3&gt;=Supuestos!$B$33,CC$3&lt;=Supuestos!$B$34),(Supuestos!$B$7+Supuestos!$B$8)*Supuestos!$B$32/(Supuestos!$B$34-Supuestos!$B$33+1),0)</f>
        <v>0</v>
      </c>
      <c r="CD19" s="22" t="n">
        <f aca="false">IF(AND(CD$3&gt;=Supuestos!$B$33,CD$3&lt;=Supuestos!$B$34),(Supuestos!$B$7+Supuestos!$B$8)*Supuestos!$B$32/(Supuestos!$B$34-Supuestos!$B$33+1),0)</f>
        <v>0</v>
      </c>
      <c r="CE19" s="22" t="n">
        <f aca="false">IF(AND(CE$3&gt;=Supuestos!$B$33,CE$3&lt;=Supuestos!$B$34),(Supuestos!$B$7+Supuestos!$B$8)*Supuestos!$B$32/(Supuestos!$B$34-Supuestos!$B$33+1),0)</f>
        <v>0</v>
      </c>
      <c r="CF19" s="22" t="n">
        <f aca="false">IF(AND(CF$3&gt;=Supuestos!$B$33,CF$3&lt;=Supuestos!$B$34),(Supuestos!$B$7+Supuestos!$B$8)*Supuestos!$B$32/(Supuestos!$B$34-Supuestos!$B$33+1),0)</f>
        <v>0</v>
      </c>
      <c r="CG19" s="22" t="n">
        <f aca="false">IF(AND(CG$3&gt;=Supuestos!$B$33,CG$3&lt;=Supuestos!$B$34),(Supuestos!$B$7+Supuestos!$B$8)*Supuestos!$B$32/(Supuestos!$B$34-Supuestos!$B$33+1),0)</f>
        <v>0</v>
      </c>
      <c r="CH19" s="22" t="n">
        <f aca="false">IF(AND(CH$3&gt;=Supuestos!$B$33,CH$3&lt;=Supuestos!$B$34),(Supuestos!$B$7+Supuestos!$B$8)*Supuestos!$B$32/(Supuestos!$B$34-Supuestos!$B$33+1),0)</f>
        <v>0</v>
      </c>
    </row>
    <row r="20" customFormat="false" ht="15" hidden="false" customHeight="false" outlineLevel="0" collapsed="false">
      <c r="A20" s="6" t="s">
        <v>10</v>
      </c>
      <c r="B20" s="9" t="n">
        <f aca="false">SUM(C20:CH20)</f>
        <v>340511.2</v>
      </c>
      <c r="C20" s="22" t="n">
        <f aca="false">(C17+C18+C19)*Supuestos!$B$35</f>
        <v>0</v>
      </c>
      <c r="D20" s="22" t="n">
        <f aca="false">(D17+D18+D19)*Supuestos!$B$35</f>
        <v>0</v>
      </c>
      <c r="E20" s="22" t="n">
        <f aca="false">(E17+E18+E19)*Supuestos!$B$35</f>
        <v>0</v>
      </c>
      <c r="F20" s="22" t="n">
        <f aca="false">(F17+F18+F19)*Supuestos!$B$35</f>
        <v>0</v>
      </c>
      <c r="G20" s="22" t="n">
        <f aca="false">(G17+G18+G19)*Supuestos!$B$35</f>
        <v>14751.12</v>
      </c>
      <c r="H20" s="22" t="n">
        <f aca="false">(H17+H18+H19)*Supuestos!$B$35</f>
        <v>14751.12</v>
      </c>
      <c r="I20" s="22" t="n">
        <f aca="false">(I17+I18+I19)*Supuestos!$B$35</f>
        <v>14751.12</v>
      </c>
      <c r="J20" s="22" t="n">
        <f aca="false">(J17+J18+J19)*Supuestos!$B$35</f>
        <v>14751.12</v>
      </c>
      <c r="K20" s="22" t="n">
        <f aca="false">(K17+K18+K19)*Supuestos!$B$35</f>
        <v>21417.7866666667</v>
      </c>
      <c r="L20" s="22" t="n">
        <f aca="false">(L17+L18+L19)*Supuestos!$B$35</f>
        <v>33187.0174358974</v>
      </c>
      <c r="M20" s="22" t="n">
        <f aca="false">(M17+M18+M19)*Supuestos!$B$35</f>
        <v>33187.0174358974</v>
      </c>
      <c r="N20" s="22" t="n">
        <f aca="false">(N17+N18+N19)*Supuestos!$B$35</f>
        <v>33187.0174358974</v>
      </c>
      <c r="O20" s="22" t="n">
        <f aca="false">(O17+O18+O19)*Supuestos!$B$35</f>
        <v>33187.0174358974</v>
      </c>
      <c r="P20" s="22" t="n">
        <f aca="false">(P17+P18+P19)*Supuestos!$B$35</f>
        <v>33187.0174358974</v>
      </c>
      <c r="Q20" s="22" t="n">
        <f aca="false">(Q17+Q18+Q19)*Supuestos!$B$35</f>
        <v>11769.2307692308</v>
      </c>
      <c r="R20" s="22" t="n">
        <f aca="false">(R17+R18+R19)*Supuestos!$B$35</f>
        <v>11769.2307692308</v>
      </c>
      <c r="S20" s="22" t="n">
        <f aca="false">(S17+S18+S19)*Supuestos!$B$35</f>
        <v>11769.2307692308</v>
      </c>
      <c r="T20" s="22" t="n">
        <f aca="false">(T17+T18+T19)*Supuestos!$B$35</f>
        <v>11769.2307692308</v>
      </c>
      <c r="U20" s="22" t="n">
        <f aca="false">(U17+U18+U19)*Supuestos!$B$35</f>
        <v>11769.2307692308</v>
      </c>
      <c r="V20" s="22" t="n">
        <f aca="false">(V17+V18+V19)*Supuestos!$B$35</f>
        <v>11769.2307692308</v>
      </c>
      <c r="W20" s="22" t="n">
        <f aca="false">(W17+W18+W19)*Supuestos!$B$35</f>
        <v>11769.2307692308</v>
      </c>
      <c r="X20" s="22" t="n">
        <f aca="false">(X17+X18+X19)*Supuestos!$B$35</f>
        <v>11769.2307692308</v>
      </c>
      <c r="Y20" s="22" t="n">
        <f aca="false">(Y17+Y18+Y19)*Supuestos!$B$35</f>
        <v>0</v>
      </c>
      <c r="Z20" s="22" t="n">
        <f aca="false">(Z17+Z18+Z19)*Supuestos!$B$35</f>
        <v>0</v>
      </c>
      <c r="AA20" s="22" t="n">
        <f aca="false">(AA17+AA18+AA19)*Supuestos!$B$35</f>
        <v>0</v>
      </c>
      <c r="AB20" s="22" t="n">
        <f aca="false">(AB17+AB18+AB19)*Supuestos!$B$35</f>
        <v>0</v>
      </c>
      <c r="AC20" s="22" t="n">
        <f aca="false">(AC17+AC18+AC19)*Supuestos!$B$35</f>
        <v>0</v>
      </c>
      <c r="AD20" s="22" t="n">
        <f aca="false">(AD17+AD18+AD19)*Supuestos!$B$35</f>
        <v>0</v>
      </c>
      <c r="AE20" s="22" t="n">
        <f aca="false">(AE17+AE18+AE19)*Supuestos!$B$35</f>
        <v>0</v>
      </c>
      <c r="AF20" s="22" t="n">
        <f aca="false">(AF17+AF18+AF19)*Supuestos!$B$35</f>
        <v>0</v>
      </c>
      <c r="AG20" s="22" t="n">
        <f aca="false">(AG17+AG18+AG19)*Supuestos!$B$35</f>
        <v>0</v>
      </c>
      <c r="AH20" s="22" t="n">
        <f aca="false">(AH17+AH18+AH19)*Supuestos!$B$35</f>
        <v>0</v>
      </c>
      <c r="AI20" s="22" t="n">
        <f aca="false">(AI17+AI18+AI19)*Supuestos!$B$35</f>
        <v>0</v>
      </c>
      <c r="AJ20" s="22" t="n">
        <f aca="false">(AJ17+AJ18+AJ19)*Supuestos!$B$35</f>
        <v>0</v>
      </c>
      <c r="AK20" s="22" t="n">
        <f aca="false">(AK17+AK18+AK19)*Supuestos!$B$35</f>
        <v>0</v>
      </c>
      <c r="AL20" s="22" t="n">
        <f aca="false">(AL17+AL18+AL19)*Supuestos!$B$35</f>
        <v>0</v>
      </c>
      <c r="AM20" s="22" t="n">
        <f aca="false">(AM17+AM18+AM19)*Supuestos!$B$35</f>
        <v>0</v>
      </c>
      <c r="AN20" s="22" t="n">
        <f aca="false">(AN17+AN18+AN19)*Supuestos!$B$35</f>
        <v>0</v>
      </c>
      <c r="AO20" s="22" t="n">
        <f aca="false">(AO17+AO18+AO19)*Supuestos!$B$35</f>
        <v>0</v>
      </c>
      <c r="AP20" s="22" t="n">
        <f aca="false">(AP17+AP18+AP19)*Supuestos!$B$35</f>
        <v>0</v>
      </c>
      <c r="AQ20" s="22" t="n">
        <f aca="false">(AQ17+AQ18+AQ19)*Supuestos!$B$35</f>
        <v>0</v>
      </c>
      <c r="AR20" s="22" t="n">
        <f aca="false">(AR17+AR18+AR19)*Supuestos!$B$35</f>
        <v>0</v>
      </c>
      <c r="AS20" s="22" t="n">
        <f aca="false">(AS17+AS18+AS19)*Supuestos!$B$35</f>
        <v>0</v>
      </c>
      <c r="AT20" s="22" t="n">
        <f aca="false">(AT17+AT18+AT19)*Supuestos!$B$35</f>
        <v>0</v>
      </c>
      <c r="AU20" s="22" t="n">
        <f aca="false">(AU17+AU18+AU19)*Supuestos!$B$35</f>
        <v>0</v>
      </c>
      <c r="AV20" s="22" t="n">
        <f aca="false">(AV17+AV18+AV19)*Supuestos!$B$35</f>
        <v>0</v>
      </c>
      <c r="AW20" s="22" t="n">
        <f aca="false">(AW17+AW18+AW19)*Supuestos!$B$35</f>
        <v>0</v>
      </c>
      <c r="AX20" s="22" t="n">
        <f aca="false">(AX17+AX18+AX19)*Supuestos!$B$35</f>
        <v>0</v>
      </c>
      <c r="AY20" s="22" t="n">
        <f aca="false">(AY17+AY18+AY19)*Supuestos!$B$35</f>
        <v>0</v>
      </c>
      <c r="AZ20" s="22" t="n">
        <f aca="false">(AZ17+AZ18+AZ19)*Supuestos!$B$35</f>
        <v>0</v>
      </c>
      <c r="BA20" s="22" t="n">
        <f aca="false">(BA17+BA18+BA19)*Supuestos!$B$35</f>
        <v>0</v>
      </c>
      <c r="BB20" s="22" t="n">
        <f aca="false">(BB17+BB18+BB19)*Supuestos!$B$35</f>
        <v>0</v>
      </c>
      <c r="BC20" s="22" t="n">
        <f aca="false">(BC17+BC18+BC19)*Supuestos!$B$35</f>
        <v>0</v>
      </c>
      <c r="BD20" s="22" t="n">
        <f aca="false">(BD17+BD18+BD19)*Supuestos!$B$35</f>
        <v>0</v>
      </c>
      <c r="BE20" s="22" t="n">
        <f aca="false">(BE17+BE18+BE19)*Supuestos!$B$35</f>
        <v>0</v>
      </c>
      <c r="BF20" s="22" t="n">
        <f aca="false">(BF17+BF18+BF19)*Supuestos!$B$35</f>
        <v>0</v>
      </c>
      <c r="BG20" s="22" t="n">
        <f aca="false">(BG17+BG18+BG19)*Supuestos!$B$35</f>
        <v>0</v>
      </c>
      <c r="BH20" s="22" t="n">
        <f aca="false">(BH17+BH18+BH19)*Supuestos!$B$35</f>
        <v>0</v>
      </c>
      <c r="BI20" s="22" t="n">
        <f aca="false">(BI17+BI18+BI19)*Supuestos!$B$35</f>
        <v>0</v>
      </c>
      <c r="BJ20" s="22" t="n">
        <f aca="false">(BJ17+BJ18+BJ19)*Supuestos!$B$35</f>
        <v>0</v>
      </c>
      <c r="BK20" s="22" t="n">
        <f aca="false">(BK17+BK18+BK19)*Supuestos!$B$35</f>
        <v>0</v>
      </c>
      <c r="BL20" s="22" t="n">
        <f aca="false">(BL17+BL18+BL19)*Supuestos!$B$35</f>
        <v>0</v>
      </c>
      <c r="BM20" s="22" t="n">
        <f aca="false">(BM17+BM18+BM19)*Supuestos!$B$35</f>
        <v>0</v>
      </c>
      <c r="BN20" s="22" t="n">
        <f aca="false">(BN17+BN18+BN19)*Supuestos!$B$35</f>
        <v>0</v>
      </c>
      <c r="BO20" s="22" t="n">
        <f aca="false">(BO17+BO18+BO19)*Supuestos!$B$35</f>
        <v>0</v>
      </c>
      <c r="BP20" s="22" t="n">
        <f aca="false">(BP17+BP18+BP19)*Supuestos!$B$35</f>
        <v>0</v>
      </c>
      <c r="BQ20" s="22" t="n">
        <f aca="false">(BQ17+BQ18+BQ19)*Supuestos!$B$35</f>
        <v>0</v>
      </c>
      <c r="BR20" s="22" t="n">
        <f aca="false">(BR17+BR18+BR19)*Supuestos!$B$35</f>
        <v>0</v>
      </c>
      <c r="BS20" s="22" t="n">
        <f aca="false">(BS17+BS18+BS19)*Supuestos!$B$35</f>
        <v>0</v>
      </c>
      <c r="BT20" s="22" t="n">
        <f aca="false">(BT17+BT18+BT19)*Supuestos!$B$35</f>
        <v>0</v>
      </c>
      <c r="BU20" s="22" t="n">
        <f aca="false">(BU17+BU18+BU19)*Supuestos!$B$35</f>
        <v>0</v>
      </c>
      <c r="BV20" s="22" t="n">
        <f aca="false">(BV17+BV18+BV19)*Supuestos!$B$35</f>
        <v>0</v>
      </c>
      <c r="BW20" s="22" t="n">
        <f aca="false">(BW17+BW18+BW19)*Supuestos!$B$35</f>
        <v>0</v>
      </c>
      <c r="BX20" s="22" t="n">
        <f aca="false">(BX17+BX18+BX19)*Supuestos!$B$35</f>
        <v>0</v>
      </c>
      <c r="BY20" s="22" t="n">
        <f aca="false">(BY17+BY18+BY19)*Supuestos!$B$35</f>
        <v>0</v>
      </c>
      <c r="BZ20" s="22" t="n">
        <f aca="false">(BZ17+BZ18+BZ19)*Supuestos!$B$35</f>
        <v>0</v>
      </c>
      <c r="CA20" s="22" t="n">
        <f aca="false">(CA17+CA18+CA19)*Supuestos!$B$35</f>
        <v>0</v>
      </c>
      <c r="CB20" s="22" t="n">
        <f aca="false">(CB17+CB18+CB19)*Supuestos!$B$35</f>
        <v>0</v>
      </c>
      <c r="CC20" s="22" t="n">
        <f aca="false">(CC17+CC18+CC19)*Supuestos!$B$35</f>
        <v>0</v>
      </c>
      <c r="CD20" s="22" t="n">
        <f aca="false">(CD17+CD18+CD19)*Supuestos!$B$35</f>
        <v>0</v>
      </c>
      <c r="CE20" s="22" t="n">
        <f aca="false">(CE17+CE18+CE19)*Supuestos!$B$35</f>
        <v>0</v>
      </c>
      <c r="CF20" s="22" t="n">
        <f aca="false">(CF17+CF18+CF19)*Supuestos!$B$35</f>
        <v>0</v>
      </c>
      <c r="CG20" s="22" t="n">
        <f aca="false">(CG17+CG18+CG19)*Supuestos!$B$35</f>
        <v>0</v>
      </c>
      <c r="CH20" s="22" t="n">
        <f aca="false">(CH17+CH18+CH19)*Supuestos!$B$35</f>
        <v>0</v>
      </c>
    </row>
    <row r="21" customFormat="false" ht="15" hidden="false" customHeight="false" outlineLevel="0" collapsed="false">
      <c r="A21" s="6" t="s">
        <v>165</v>
      </c>
      <c r="B21" s="9" t="n">
        <f aca="false">SUM(C21:CH21)</f>
        <v>500000</v>
      </c>
      <c r="C21" s="22" t="n">
        <f aca="false">C5*Supuestos!$B$36/Supuestos!$B$10</f>
        <v>0</v>
      </c>
      <c r="D21" s="22" t="n">
        <f aca="false">D5*Supuestos!$B$36/Supuestos!$B$10</f>
        <v>0</v>
      </c>
      <c r="E21" s="22" t="n">
        <f aca="false">E5*Supuestos!$B$36/Supuestos!$B$10</f>
        <v>0</v>
      </c>
      <c r="F21" s="22" t="n">
        <f aca="false">F5*Supuestos!$B$36/Supuestos!$B$10</f>
        <v>0</v>
      </c>
      <c r="G21" s="22" t="n">
        <f aca="false">G5*Supuestos!$B$36/Supuestos!$B$10</f>
        <v>0</v>
      </c>
      <c r="H21" s="22" t="n">
        <f aca="false">H5*Supuestos!$B$36/Supuestos!$B$10</f>
        <v>0</v>
      </c>
      <c r="I21" s="22" t="n">
        <f aca="false">I5*Supuestos!$B$36/Supuestos!$B$10</f>
        <v>0</v>
      </c>
      <c r="J21" s="22" t="n">
        <f aca="false">J5*Supuestos!$B$36/Supuestos!$B$10</f>
        <v>0</v>
      </c>
      <c r="K21" s="22" t="n">
        <f aca="false">K5*Supuestos!$B$36/Supuestos!$B$10</f>
        <v>0</v>
      </c>
      <c r="L21" s="22" t="n">
        <f aca="false">L5*Supuestos!$B$36/Supuestos!$B$10</f>
        <v>13840.830449827</v>
      </c>
      <c r="M21" s="22" t="n">
        <f aca="false">M5*Supuestos!$B$36/Supuestos!$B$10</f>
        <v>13840.830449827</v>
      </c>
      <c r="N21" s="22" t="n">
        <f aca="false">N5*Supuestos!$B$36/Supuestos!$B$10</f>
        <v>13840.830449827</v>
      </c>
      <c r="O21" s="22" t="n">
        <f aca="false">O5*Supuestos!$B$36/Supuestos!$B$10</f>
        <v>13840.830449827</v>
      </c>
      <c r="P21" s="22" t="n">
        <f aca="false">P5*Supuestos!$B$36/Supuestos!$B$10</f>
        <v>13840.830449827</v>
      </c>
      <c r="Q21" s="22" t="n">
        <f aca="false">Q5*Supuestos!$B$36/Supuestos!$B$10</f>
        <v>13840.830449827</v>
      </c>
      <c r="R21" s="22" t="n">
        <f aca="false">R5*Supuestos!$B$36/Supuestos!$B$10</f>
        <v>13840.830449827</v>
      </c>
      <c r="S21" s="22" t="n">
        <f aca="false">S5*Supuestos!$B$36/Supuestos!$B$10</f>
        <v>13840.830449827</v>
      </c>
      <c r="T21" s="22" t="n">
        <f aca="false">T5*Supuestos!$B$36/Supuestos!$B$10</f>
        <v>13840.830449827</v>
      </c>
      <c r="U21" s="22" t="n">
        <f aca="false">U5*Supuestos!$B$36/Supuestos!$B$10</f>
        <v>13840.830449827</v>
      </c>
      <c r="V21" s="22" t="n">
        <f aca="false">V5*Supuestos!$B$36/Supuestos!$B$10</f>
        <v>13840.830449827</v>
      </c>
      <c r="W21" s="22" t="n">
        <f aca="false">W5*Supuestos!$B$36/Supuestos!$B$10</f>
        <v>13840.830449827</v>
      </c>
      <c r="X21" s="22" t="n">
        <f aca="false">X5*Supuestos!$B$36/Supuestos!$B$10</f>
        <v>13840.830449827</v>
      </c>
      <c r="Y21" s="22" t="n">
        <f aca="false">Y5*Supuestos!$B$36/Supuestos!$B$10</f>
        <v>13840.830449827</v>
      </c>
      <c r="Z21" s="22" t="n">
        <f aca="false">Z5*Supuestos!$B$36/Supuestos!$B$10</f>
        <v>13840.830449827</v>
      </c>
      <c r="AA21" s="22" t="n">
        <f aca="false">AA5*Supuestos!$B$36/Supuestos!$B$10</f>
        <v>13840.830449827</v>
      </c>
      <c r="AB21" s="22" t="n">
        <f aca="false">AB5*Supuestos!$B$36/Supuestos!$B$10</f>
        <v>13840.830449827</v>
      </c>
      <c r="AC21" s="22" t="n">
        <f aca="false">AC5*Supuestos!$B$36/Supuestos!$B$10</f>
        <v>13840.830449827</v>
      </c>
      <c r="AD21" s="22" t="n">
        <f aca="false">AD5*Supuestos!$B$36/Supuestos!$B$10</f>
        <v>13840.830449827</v>
      </c>
      <c r="AE21" s="22" t="n">
        <f aca="false">AE5*Supuestos!$B$36/Supuestos!$B$10</f>
        <v>13840.830449827</v>
      </c>
      <c r="AF21" s="22" t="n">
        <f aca="false">AF5*Supuestos!$B$36/Supuestos!$B$10</f>
        <v>13840.830449827</v>
      </c>
      <c r="AG21" s="22" t="n">
        <f aca="false">AG5*Supuestos!$B$36/Supuestos!$B$10</f>
        <v>13840.830449827</v>
      </c>
      <c r="AH21" s="22" t="n">
        <f aca="false">AH5*Supuestos!$B$36/Supuestos!$B$10</f>
        <v>13840.830449827</v>
      </c>
      <c r="AI21" s="22" t="n">
        <f aca="false">AI5*Supuestos!$B$36/Supuestos!$B$10</f>
        <v>13840.830449827</v>
      </c>
      <c r="AJ21" s="22" t="n">
        <f aca="false">AJ5*Supuestos!$B$36/Supuestos!$B$10</f>
        <v>13840.830449827</v>
      </c>
      <c r="AK21" s="22" t="n">
        <f aca="false">AK5*Supuestos!$B$36/Supuestos!$B$10</f>
        <v>13840.830449827</v>
      </c>
      <c r="AL21" s="22" t="n">
        <f aca="false">AL5*Supuestos!$B$36/Supuestos!$B$10</f>
        <v>13840.830449827</v>
      </c>
      <c r="AM21" s="22" t="n">
        <f aca="false">AM5*Supuestos!$B$36/Supuestos!$B$10</f>
        <v>13840.830449827</v>
      </c>
      <c r="AN21" s="22" t="n">
        <f aca="false">AN5*Supuestos!$B$36/Supuestos!$B$10</f>
        <v>13840.830449827</v>
      </c>
      <c r="AO21" s="22" t="n">
        <f aca="false">AO5*Supuestos!$B$36/Supuestos!$B$10</f>
        <v>13840.830449827</v>
      </c>
      <c r="AP21" s="22" t="n">
        <f aca="false">AP5*Supuestos!$B$36/Supuestos!$B$10</f>
        <v>13840.830449827</v>
      </c>
      <c r="AQ21" s="22" t="n">
        <f aca="false">AQ5*Supuestos!$B$36/Supuestos!$B$10</f>
        <v>13840.830449827</v>
      </c>
      <c r="AR21" s="22" t="n">
        <f aca="false">AR5*Supuestos!$B$36/Supuestos!$B$10</f>
        <v>13840.830449827</v>
      </c>
      <c r="AS21" s="22" t="n">
        <f aca="false">AS5*Supuestos!$B$36/Supuestos!$B$10</f>
        <v>13840.830449827</v>
      </c>
      <c r="AT21" s="22" t="n">
        <f aca="false">AT5*Supuestos!$B$36/Supuestos!$B$10</f>
        <v>13840.830449827</v>
      </c>
      <c r="AU21" s="22" t="n">
        <f aca="false">AU5*Supuestos!$B$36/Supuestos!$B$10</f>
        <v>13840.830449827</v>
      </c>
      <c r="AV21" s="22" t="n">
        <f aca="false">AV5*Supuestos!$B$36/Supuestos!$B$10</f>
        <v>1730.10380622837</v>
      </c>
      <c r="AW21" s="22" t="n">
        <f aca="false">AW5*Supuestos!$B$36/Supuestos!$B$10</f>
        <v>0</v>
      </c>
      <c r="AX21" s="22" t="n">
        <f aca="false">AX5*Supuestos!$B$36/Supuestos!$B$10</f>
        <v>0</v>
      </c>
      <c r="AY21" s="22" t="n">
        <f aca="false">AY5*Supuestos!$B$36/Supuestos!$B$10</f>
        <v>0</v>
      </c>
      <c r="AZ21" s="22" t="n">
        <f aca="false">AZ5*Supuestos!$B$36/Supuestos!$B$10</f>
        <v>0</v>
      </c>
      <c r="BA21" s="22" t="n">
        <f aca="false">BA5*Supuestos!$B$36/Supuestos!$B$10</f>
        <v>0</v>
      </c>
      <c r="BB21" s="22" t="n">
        <f aca="false">BB5*Supuestos!$B$36/Supuestos!$B$10</f>
        <v>0</v>
      </c>
      <c r="BC21" s="22" t="n">
        <f aca="false">BC5*Supuestos!$B$36/Supuestos!$B$10</f>
        <v>0</v>
      </c>
      <c r="BD21" s="22" t="n">
        <f aca="false">BD5*Supuestos!$B$36/Supuestos!$B$10</f>
        <v>0</v>
      </c>
      <c r="BE21" s="22" t="n">
        <f aca="false">BE5*Supuestos!$B$36/Supuestos!$B$10</f>
        <v>0</v>
      </c>
      <c r="BF21" s="22" t="n">
        <f aca="false">BF5*Supuestos!$B$36/Supuestos!$B$10</f>
        <v>0</v>
      </c>
      <c r="BG21" s="22" t="n">
        <f aca="false">BG5*Supuestos!$B$36/Supuestos!$B$10</f>
        <v>0</v>
      </c>
      <c r="BH21" s="22" t="n">
        <f aca="false">BH5*Supuestos!$B$36/Supuestos!$B$10</f>
        <v>0</v>
      </c>
      <c r="BI21" s="22" t="n">
        <f aca="false">BI5*Supuestos!$B$36/Supuestos!$B$10</f>
        <v>0</v>
      </c>
      <c r="BJ21" s="22" t="n">
        <f aca="false">BJ5*Supuestos!$B$36/Supuestos!$B$10</f>
        <v>0</v>
      </c>
      <c r="BK21" s="22" t="n">
        <f aca="false">BK5*Supuestos!$B$36/Supuestos!$B$10</f>
        <v>0</v>
      </c>
      <c r="BL21" s="22" t="n">
        <f aca="false">BL5*Supuestos!$B$36/Supuestos!$B$10</f>
        <v>0</v>
      </c>
      <c r="BM21" s="22" t="n">
        <f aca="false">BM5*Supuestos!$B$36/Supuestos!$B$10</f>
        <v>0</v>
      </c>
      <c r="BN21" s="22" t="n">
        <f aca="false">BN5*Supuestos!$B$36/Supuestos!$B$10</f>
        <v>0</v>
      </c>
      <c r="BO21" s="22" t="n">
        <f aca="false">BO5*Supuestos!$B$36/Supuestos!$B$10</f>
        <v>0</v>
      </c>
      <c r="BP21" s="22" t="n">
        <f aca="false">BP5*Supuestos!$B$36/Supuestos!$B$10</f>
        <v>0</v>
      </c>
      <c r="BQ21" s="22" t="n">
        <f aca="false">BQ5*Supuestos!$B$36/Supuestos!$B$10</f>
        <v>0</v>
      </c>
      <c r="BR21" s="22" t="n">
        <f aca="false">BR5*Supuestos!$B$36/Supuestos!$B$10</f>
        <v>0</v>
      </c>
      <c r="BS21" s="22" t="n">
        <f aca="false">BS5*Supuestos!$B$36/Supuestos!$B$10</f>
        <v>0</v>
      </c>
      <c r="BT21" s="22" t="n">
        <f aca="false">BT5*Supuestos!$B$36/Supuestos!$B$10</f>
        <v>0</v>
      </c>
      <c r="BU21" s="22" t="n">
        <f aca="false">BU5*Supuestos!$B$36/Supuestos!$B$10</f>
        <v>0</v>
      </c>
      <c r="BV21" s="22" t="n">
        <f aca="false">BV5*Supuestos!$B$36/Supuestos!$B$10</f>
        <v>0</v>
      </c>
      <c r="BW21" s="22" t="n">
        <f aca="false">BW5*Supuestos!$B$36/Supuestos!$B$10</f>
        <v>0</v>
      </c>
      <c r="BX21" s="22" t="n">
        <f aca="false">BX5*Supuestos!$B$36/Supuestos!$B$10</f>
        <v>0</v>
      </c>
      <c r="BY21" s="22" t="n">
        <f aca="false">BY5*Supuestos!$B$36/Supuestos!$B$10</f>
        <v>0</v>
      </c>
      <c r="BZ21" s="22" t="n">
        <f aca="false">BZ5*Supuestos!$B$36/Supuestos!$B$10</f>
        <v>0</v>
      </c>
      <c r="CA21" s="22" t="n">
        <f aca="false">CA5*Supuestos!$B$36/Supuestos!$B$10</f>
        <v>0</v>
      </c>
      <c r="CB21" s="22" t="n">
        <f aca="false">CB5*Supuestos!$B$36/Supuestos!$B$10</f>
        <v>0</v>
      </c>
      <c r="CC21" s="22" t="n">
        <f aca="false">CC5*Supuestos!$B$36/Supuestos!$B$10</f>
        <v>0</v>
      </c>
      <c r="CD21" s="22" t="n">
        <f aca="false">CD5*Supuestos!$B$36/Supuestos!$B$10</f>
        <v>0</v>
      </c>
      <c r="CE21" s="22" t="n">
        <f aca="false">CE5*Supuestos!$B$36/Supuestos!$B$10</f>
        <v>0</v>
      </c>
      <c r="CF21" s="22" t="n">
        <f aca="false">CF5*Supuestos!$B$36/Supuestos!$B$10</f>
        <v>0</v>
      </c>
      <c r="CG21" s="22" t="n">
        <f aca="false">CG5*Supuestos!$B$36/Supuestos!$B$10</f>
        <v>0</v>
      </c>
      <c r="CH21" s="22" t="n">
        <f aca="false">CH5*Supuestos!$B$36/Supuestos!$B$10</f>
        <v>0</v>
      </c>
    </row>
    <row r="22" customFormat="false" ht="15" hidden="false" customHeight="false" outlineLevel="0" collapsed="false">
      <c r="A22" s="6" t="s">
        <v>166</v>
      </c>
      <c r="B22" s="9" t="n">
        <f aca="false">SUM(C22:CH22)</f>
        <v>699090</v>
      </c>
      <c r="C22" s="22" t="n">
        <f aca="false">C14*Supuestos!$B$37</f>
        <v>0</v>
      </c>
      <c r="D22" s="22" t="n">
        <f aca="false">D14*Supuestos!$B$37</f>
        <v>0</v>
      </c>
      <c r="E22" s="22" t="n">
        <f aca="false">E14*Supuestos!$B$37</f>
        <v>0</v>
      </c>
      <c r="F22" s="22" t="n">
        <f aca="false">F14*Supuestos!$B$37</f>
        <v>0</v>
      </c>
      <c r="G22" s="22" t="n">
        <f aca="false">G14*Supuestos!$B$37</f>
        <v>0</v>
      </c>
      <c r="H22" s="22" t="n">
        <f aca="false">H14*Supuestos!$B$37</f>
        <v>0</v>
      </c>
      <c r="I22" s="22" t="n">
        <f aca="false">I14*Supuestos!$B$37</f>
        <v>0</v>
      </c>
      <c r="J22" s="22" t="n">
        <f aca="false">J14*Supuestos!$B$37</f>
        <v>0</v>
      </c>
      <c r="K22" s="22" t="n">
        <f aca="false">K14*Supuestos!$B$37</f>
        <v>0</v>
      </c>
      <c r="L22" s="22" t="n">
        <f aca="false">L14*Supuestos!$B$37</f>
        <v>7680</v>
      </c>
      <c r="M22" s="22" t="n">
        <f aca="false">M14*Supuestos!$B$37</f>
        <v>7680</v>
      </c>
      <c r="N22" s="22" t="n">
        <f aca="false">N14*Supuestos!$B$37</f>
        <v>7680</v>
      </c>
      <c r="O22" s="22" t="n">
        <f aca="false">O14*Supuestos!$B$37</f>
        <v>7680</v>
      </c>
      <c r="P22" s="22" t="n">
        <f aca="false">P14*Supuestos!$B$37</f>
        <v>7680</v>
      </c>
      <c r="Q22" s="22" t="n">
        <f aca="false">Q14*Supuestos!$B$37</f>
        <v>7680</v>
      </c>
      <c r="R22" s="22" t="n">
        <f aca="false">R14*Supuestos!$B$37</f>
        <v>7680</v>
      </c>
      <c r="S22" s="22" t="n">
        <f aca="false">S14*Supuestos!$B$37</f>
        <v>7680</v>
      </c>
      <c r="T22" s="22" t="n">
        <f aca="false">T14*Supuestos!$B$37</f>
        <v>322230</v>
      </c>
      <c r="U22" s="22" t="n">
        <f aca="false">U14*Supuestos!$B$37</f>
        <v>7680</v>
      </c>
      <c r="V22" s="22" t="n">
        <f aca="false">V14*Supuestos!$B$37</f>
        <v>7680</v>
      </c>
      <c r="W22" s="22" t="n">
        <f aca="false">W14*Supuestos!$B$37</f>
        <v>7680</v>
      </c>
      <c r="X22" s="22" t="n">
        <f aca="false">X14*Supuestos!$B$37</f>
        <v>7680</v>
      </c>
      <c r="Y22" s="22" t="n">
        <f aca="false">Y14*Supuestos!$B$37</f>
        <v>7680</v>
      </c>
      <c r="Z22" s="22" t="n">
        <f aca="false">Z14*Supuestos!$B$37</f>
        <v>114780</v>
      </c>
      <c r="AA22" s="22" t="n">
        <f aca="false">AA14*Supuestos!$B$37</f>
        <v>7680</v>
      </c>
      <c r="AB22" s="22" t="n">
        <f aca="false">AB14*Supuestos!$B$37</f>
        <v>7680</v>
      </c>
      <c r="AC22" s="22" t="n">
        <f aca="false">AC14*Supuestos!$B$37</f>
        <v>7680</v>
      </c>
      <c r="AD22" s="22" t="n">
        <f aca="false">AD14*Supuestos!$B$37</f>
        <v>7680</v>
      </c>
      <c r="AE22" s="22" t="n">
        <f aca="false">AE14*Supuestos!$B$37</f>
        <v>7680</v>
      </c>
      <c r="AF22" s="22" t="n">
        <f aca="false">AF14*Supuestos!$B$37</f>
        <v>7680</v>
      </c>
      <c r="AG22" s="22" t="n">
        <f aca="false">AG14*Supuestos!$B$37</f>
        <v>7680</v>
      </c>
      <c r="AH22" s="22" t="n">
        <f aca="false">AH14*Supuestos!$B$37</f>
        <v>7680</v>
      </c>
      <c r="AI22" s="22" t="n">
        <f aca="false">AI14*Supuestos!$B$37</f>
        <v>7680</v>
      </c>
      <c r="AJ22" s="22" t="n">
        <f aca="false">AJ14*Supuestos!$B$37</f>
        <v>7680</v>
      </c>
      <c r="AK22" s="22" t="n">
        <f aca="false">AK14*Supuestos!$B$37</f>
        <v>7680</v>
      </c>
      <c r="AL22" s="22" t="n">
        <f aca="false">AL14*Supuestos!$B$37</f>
        <v>7680</v>
      </c>
      <c r="AM22" s="22" t="n">
        <f aca="false">AM14*Supuestos!$B$37</f>
        <v>7680</v>
      </c>
      <c r="AN22" s="22" t="n">
        <f aca="false">AN14*Supuestos!$B$37</f>
        <v>7680</v>
      </c>
      <c r="AO22" s="22" t="n">
        <f aca="false">AO14*Supuestos!$B$37</f>
        <v>7680</v>
      </c>
      <c r="AP22" s="22" t="n">
        <f aca="false">AP14*Supuestos!$B$37</f>
        <v>7680</v>
      </c>
      <c r="AQ22" s="22" t="n">
        <f aca="false">AQ14*Supuestos!$B$37</f>
        <v>7680</v>
      </c>
      <c r="AR22" s="22" t="n">
        <f aca="false">AR14*Supuestos!$B$37</f>
        <v>7680</v>
      </c>
      <c r="AS22" s="22" t="n">
        <f aca="false">AS14*Supuestos!$B$37</f>
        <v>7680</v>
      </c>
      <c r="AT22" s="22" t="n">
        <f aca="false">AT14*Supuestos!$B$37</f>
        <v>7680</v>
      </c>
      <c r="AU22" s="22" t="n">
        <f aca="false">AU14*Supuestos!$B$37</f>
        <v>7680</v>
      </c>
      <c r="AV22" s="22" t="n">
        <f aca="false">AV14*Supuestos!$B$37</f>
        <v>960</v>
      </c>
      <c r="AW22" s="22" t="n">
        <f aca="false">AW14*Supuestos!$B$37</f>
        <v>0</v>
      </c>
      <c r="AX22" s="22" t="n">
        <f aca="false">AX14*Supuestos!$B$37</f>
        <v>0</v>
      </c>
      <c r="AY22" s="22" t="n">
        <f aca="false">AY14*Supuestos!$B$37</f>
        <v>0</v>
      </c>
      <c r="AZ22" s="22" t="n">
        <f aca="false">AZ14*Supuestos!$B$37</f>
        <v>0</v>
      </c>
      <c r="BA22" s="22" t="n">
        <f aca="false">BA14*Supuestos!$B$37</f>
        <v>0</v>
      </c>
      <c r="BB22" s="22" t="n">
        <f aca="false">BB14*Supuestos!$B$37</f>
        <v>0</v>
      </c>
      <c r="BC22" s="22" t="n">
        <f aca="false">BC14*Supuestos!$B$37</f>
        <v>0</v>
      </c>
      <c r="BD22" s="22" t="n">
        <f aca="false">BD14*Supuestos!$B$37</f>
        <v>0</v>
      </c>
      <c r="BE22" s="22" t="n">
        <f aca="false">BE14*Supuestos!$B$37</f>
        <v>0</v>
      </c>
      <c r="BF22" s="22" t="n">
        <f aca="false">BF14*Supuestos!$B$37</f>
        <v>0</v>
      </c>
      <c r="BG22" s="22" t="n">
        <f aca="false">BG14*Supuestos!$B$37</f>
        <v>0</v>
      </c>
      <c r="BH22" s="22" t="n">
        <f aca="false">BH14*Supuestos!$B$37</f>
        <v>0</v>
      </c>
      <c r="BI22" s="22" t="n">
        <f aca="false">BI14*Supuestos!$B$37</f>
        <v>0</v>
      </c>
      <c r="BJ22" s="22" t="n">
        <f aca="false">BJ14*Supuestos!$B$37</f>
        <v>0</v>
      </c>
      <c r="BK22" s="22" t="n">
        <f aca="false">BK14*Supuestos!$B$37</f>
        <v>0</v>
      </c>
      <c r="BL22" s="22" t="n">
        <f aca="false">BL14*Supuestos!$B$37</f>
        <v>0</v>
      </c>
      <c r="BM22" s="22" t="n">
        <f aca="false">BM14*Supuestos!$B$37</f>
        <v>0</v>
      </c>
      <c r="BN22" s="22" t="n">
        <f aca="false">BN14*Supuestos!$B$37</f>
        <v>0</v>
      </c>
      <c r="BO22" s="22" t="n">
        <f aca="false">BO14*Supuestos!$B$37</f>
        <v>0</v>
      </c>
      <c r="BP22" s="22" t="n">
        <f aca="false">BP14*Supuestos!$B$37</f>
        <v>0</v>
      </c>
      <c r="BQ22" s="22" t="n">
        <f aca="false">BQ14*Supuestos!$B$37</f>
        <v>0</v>
      </c>
      <c r="BR22" s="22" t="n">
        <f aca="false">BR14*Supuestos!$B$37</f>
        <v>0</v>
      </c>
      <c r="BS22" s="22" t="n">
        <f aca="false">BS14*Supuestos!$B$37</f>
        <v>0</v>
      </c>
      <c r="BT22" s="22" t="n">
        <f aca="false">BT14*Supuestos!$B$37</f>
        <v>0</v>
      </c>
      <c r="BU22" s="22" t="n">
        <f aca="false">BU14*Supuestos!$B$37</f>
        <v>0</v>
      </c>
      <c r="BV22" s="22" t="n">
        <f aca="false">BV14*Supuestos!$B$37</f>
        <v>0</v>
      </c>
      <c r="BW22" s="22" t="n">
        <f aca="false">BW14*Supuestos!$B$37</f>
        <v>0</v>
      </c>
      <c r="BX22" s="22" t="n">
        <f aca="false">BX14*Supuestos!$B$37</f>
        <v>0</v>
      </c>
      <c r="BY22" s="22" t="n">
        <f aca="false">BY14*Supuestos!$B$37</f>
        <v>0</v>
      </c>
      <c r="BZ22" s="22" t="n">
        <f aca="false">BZ14*Supuestos!$B$37</f>
        <v>0</v>
      </c>
      <c r="CA22" s="22" t="n">
        <f aca="false">CA14*Supuestos!$B$37</f>
        <v>0</v>
      </c>
      <c r="CB22" s="22" t="n">
        <f aca="false">CB14*Supuestos!$B$37</f>
        <v>0</v>
      </c>
      <c r="CC22" s="22" t="n">
        <f aca="false">CC14*Supuestos!$B$37</f>
        <v>0</v>
      </c>
      <c r="CD22" s="22" t="n">
        <f aca="false">CD14*Supuestos!$B$37</f>
        <v>0</v>
      </c>
      <c r="CE22" s="22" t="n">
        <f aca="false">CE14*Supuestos!$B$37</f>
        <v>0</v>
      </c>
      <c r="CF22" s="22" t="n">
        <f aca="false">CF14*Supuestos!$B$37</f>
        <v>0</v>
      </c>
      <c r="CG22" s="22" t="n">
        <f aca="false">CG14*Supuestos!$B$37</f>
        <v>0</v>
      </c>
      <c r="CH22" s="22" t="n">
        <f aca="false">CH14*Supuestos!$B$37</f>
        <v>0</v>
      </c>
    </row>
    <row r="23" customFormat="false" ht="15" hidden="false" customHeight="false" outlineLevel="0" collapsed="false">
      <c r="A23" s="6" t="s">
        <v>167</v>
      </c>
      <c r="B23" s="9" t="n">
        <f aca="false">SUM(C23:CH23)</f>
        <v>582575</v>
      </c>
      <c r="C23" s="22" t="n">
        <f aca="false">C14*Supuestos!$B$38</f>
        <v>0</v>
      </c>
      <c r="D23" s="22" t="n">
        <f aca="false">D14*Supuestos!$B$38</f>
        <v>0</v>
      </c>
      <c r="E23" s="22" t="n">
        <f aca="false">E14*Supuestos!$B$38</f>
        <v>0</v>
      </c>
      <c r="F23" s="22" t="n">
        <f aca="false">F14*Supuestos!$B$38</f>
        <v>0</v>
      </c>
      <c r="G23" s="22" t="n">
        <f aca="false">G14*Supuestos!$B$38</f>
        <v>0</v>
      </c>
      <c r="H23" s="22" t="n">
        <f aca="false">H14*Supuestos!$B$38</f>
        <v>0</v>
      </c>
      <c r="I23" s="22" t="n">
        <f aca="false">I14*Supuestos!$B$38</f>
        <v>0</v>
      </c>
      <c r="J23" s="22" t="n">
        <f aca="false">J14*Supuestos!$B$38</f>
        <v>0</v>
      </c>
      <c r="K23" s="22" t="n">
        <f aca="false">K14*Supuestos!$B$38</f>
        <v>0</v>
      </c>
      <c r="L23" s="22" t="n">
        <f aca="false">L14*Supuestos!$B$38</f>
        <v>6400</v>
      </c>
      <c r="M23" s="22" t="n">
        <f aca="false">M14*Supuestos!$B$38</f>
        <v>6400</v>
      </c>
      <c r="N23" s="22" t="n">
        <f aca="false">N14*Supuestos!$B$38</f>
        <v>6400</v>
      </c>
      <c r="O23" s="22" t="n">
        <f aca="false">O14*Supuestos!$B$38</f>
        <v>6400</v>
      </c>
      <c r="P23" s="22" t="n">
        <f aca="false">P14*Supuestos!$B$38</f>
        <v>6400</v>
      </c>
      <c r="Q23" s="22" t="n">
        <f aca="false">Q14*Supuestos!$B$38</f>
        <v>6400</v>
      </c>
      <c r="R23" s="22" t="n">
        <f aca="false">R14*Supuestos!$B$38</f>
        <v>6400</v>
      </c>
      <c r="S23" s="22" t="n">
        <f aca="false">S14*Supuestos!$B$38</f>
        <v>6400</v>
      </c>
      <c r="T23" s="22" t="n">
        <f aca="false">T14*Supuestos!$B$38</f>
        <v>268525</v>
      </c>
      <c r="U23" s="22" t="n">
        <f aca="false">U14*Supuestos!$B$38</f>
        <v>6400</v>
      </c>
      <c r="V23" s="22" t="n">
        <f aca="false">V14*Supuestos!$B$38</f>
        <v>6400</v>
      </c>
      <c r="W23" s="22" t="n">
        <f aca="false">W14*Supuestos!$B$38</f>
        <v>6400</v>
      </c>
      <c r="X23" s="22" t="n">
        <f aca="false">X14*Supuestos!$B$38</f>
        <v>6400</v>
      </c>
      <c r="Y23" s="22" t="n">
        <f aca="false">Y14*Supuestos!$B$38</f>
        <v>6400</v>
      </c>
      <c r="Z23" s="22" t="n">
        <f aca="false">Z14*Supuestos!$B$38</f>
        <v>95650</v>
      </c>
      <c r="AA23" s="22" t="n">
        <f aca="false">AA14*Supuestos!$B$38</f>
        <v>6400</v>
      </c>
      <c r="AB23" s="22" t="n">
        <f aca="false">AB14*Supuestos!$B$38</f>
        <v>6400</v>
      </c>
      <c r="AC23" s="22" t="n">
        <f aca="false">AC14*Supuestos!$B$38</f>
        <v>6400</v>
      </c>
      <c r="AD23" s="22" t="n">
        <f aca="false">AD14*Supuestos!$B$38</f>
        <v>6400</v>
      </c>
      <c r="AE23" s="22" t="n">
        <f aca="false">AE14*Supuestos!$B$38</f>
        <v>6400</v>
      </c>
      <c r="AF23" s="22" t="n">
        <f aca="false">AF14*Supuestos!$B$38</f>
        <v>6400</v>
      </c>
      <c r="AG23" s="22" t="n">
        <f aca="false">AG14*Supuestos!$B$38</f>
        <v>6400</v>
      </c>
      <c r="AH23" s="22" t="n">
        <f aca="false">AH14*Supuestos!$B$38</f>
        <v>6400</v>
      </c>
      <c r="AI23" s="22" t="n">
        <f aca="false">AI14*Supuestos!$B$38</f>
        <v>6400</v>
      </c>
      <c r="AJ23" s="22" t="n">
        <f aca="false">AJ14*Supuestos!$B$38</f>
        <v>6400</v>
      </c>
      <c r="AK23" s="22" t="n">
        <f aca="false">AK14*Supuestos!$B$38</f>
        <v>6400</v>
      </c>
      <c r="AL23" s="22" t="n">
        <f aca="false">AL14*Supuestos!$B$38</f>
        <v>6400</v>
      </c>
      <c r="AM23" s="22" t="n">
        <f aca="false">AM14*Supuestos!$B$38</f>
        <v>6400</v>
      </c>
      <c r="AN23" s="22" t="n">
        <f aca="false">AN14*Supuestos!$B$38</f>
        <v>6400</v>
      </c>
      <c r="AO23" s="22" t="n">
        <f aca="false">AO14*Supuestos!$B$38</f>
        <v>6400</v>
      </c>
      <c r="AP23" s="22" t="n">
        <f aca="false">AP14*Supuestos!$B$38</f>
        <v>6400</v>
      </c>
      <c r="AQ23" s="22" t="n">
        <f aca="false">AQ14*Supuestos!$B$38</f>
        <v>6400</v>
      </c>
      <c r="AR23" s="22" t="n">
        <f aca="false">AR14*Supuestos!$B$38</f>
        <v>6400</v>
      </c>
      <c r="AS23" s="22" t="n">
        <f aca="false">AS14*Supuestos!$B$38</f>
        <v>6400</v>
      </c>
      <c r="AT23" s="22" t="n">
        <f aca="false">AT14*Supuestos!$B$38</f>
        <v>6400</v>
      </c>
      <c r="AU23" s="22" t="n">
        <f aca="false">AU14*Supuestos!$B$38</f>
        <v>6400</v>
      </c>
      <c r="AV23" s="22" t="n">
        <f aca="false">AV14*Supuestos!$B$38</f>
        <v>800</v>
      </c>
      <c r="AW23" s="22" t="n">
        <f aca="false">AW14*Supuestos!$B$38</f>
        <v>0</v>
      </c>
      <c r="AX23" s="22" t="n">
        <f aca="false">AX14*Supuestos!$B$38</f>
        <v>0</v>
      </c>
      <c r="AY23" s="22" t="n">
        <f aca="false">AY14*Supuestos!$B$38</f>
        <v>0</v>
      </c>
      <c r="AZ23" s="22" t="n">
        <f aca="false">AZ14*Supuestos!$B$38</f>
        <v>0</v>
      </c>
      <c r="BA23" s="22" t="n">
        <f aca="false">BA14*Supuestos!$B$38</f>
        <v>0</v>
      </c>
      <c r="BB23" s="22" t="n">
        <f aca="false">BB14*Supuestos!$B$38</f>
        <v>0</v>
      </c>
      <c r="BC23" s="22" t="n">
        <f aca="false">BC14*Supuestos!$B$38</f>
        <v>0</v>
      </c>
      <c r="BD23" s="22" t="n">
        <f aca="false">BD14*Supuestos!$B$38</f>
        <v>0</v>
      </c>
      <c r="BE23" s="22" t="n">
        <f aca="false">BE14*Supuestos!$B$38</f>
        <v>0</v>
      </c>
      <c r="BF23" s="22" t="n">
        <f aca="false">BF14*Supuestos!$B$38</f>
        <v>0</v>
      </c>
      <c r="BG23" s="22" t="n">
        <f aca="false">BG14*Supuestos!$B$38</f>
        <v>0</v>
      </c>
      <c r="BH23" s="22" t="n">
        <f aca="false">BH14*Supuestos!$B$38</f>
        <v>0</v>
      </c>
      <c r="BI23" s="22" t="n">
        <f aca="false">BI14*Supuestos!$B$38</f>
        <v>0</v>
      </c>
      <c r="BJ23" s="22" t="n">
        <f aca="false">BJ14*Supuestos!$B$38</f>
        <v>0</v>
      </c>
      <c r="BK23" s="22" t="n">
        <f aca="false">BK14*Supuestos!$B$38</f>
        <v>0</v>
      </c>
      <c r="BL23" s="22" t="n">
        <f aca="false">BL14*Supuestos!$B$38</f>
        <v>0</v>
      </c>
      <c r="BM23" s="22" t="n">
        <f aca="false">BM14*Supuestos!$B$38</f>
        <v>0</v>
      </c>
      <c r="BN23" s="22" t="n">
        <f aca="false">BN14*Supuestos!$B$38</f>
        <v>0</v>
      </c>
      <c r="BO23" s="22" t="n">
        <f aca="false">BO14*Supuestos!$B$38</f>
        <v>0</v>
      </c>
      <c r="BP23" s="22" t="n">
        <f aca="false">BP14*Supuestos!$B$38</f>
        <v>0</v>
      </c>
      <c r="BQ23" s="22" t="n">
        <f aca="false">BQ14*Supuestos!$B$38</f>
        <v>0</v>
      </c>
      <c r="BR23" s="22" t="n">
        <f aca="false">BR14*Supuestos!$B$38</f>
        <v>0</v>
      </c>
      <c r="BS23" s="22" t="n">
        <f aca="false">BS14*Supuestos!$B$38</f>
        <v>0</v>
      </c>
      <c r="BT23" s="22" t="n">
        <f aca="false">BT14*Supuestos!$B$38</f>
        <v>0</v>
      </c>
      <c r="BU23" s="22" t="n">
        <f aca="false">BU14*Supuestos!$B$38</f>
        <v>0</v>
      </c>
      <c r="BV23" s="22" t="n">
        <f aca="false">BV14*Supuestos!$B$38</f>
        <v>0</v>
      </c>
      <c r="BW23" s="22" t="n">
        <f aca="false">BW14*Supuestos!$B$38</f>
        <v>0</v>
      </c>
      <c r="BX23" s="22" t="n">
        <f aca="false">BX14*Supuestos!$B$38</f>
        <v>0</v>
      </c>
      <c r="BY23" s="22" t="n">
        <f aca="false">BY14*Supuestos!$B$38</f>
        <v>0</v>
      </c>
      <c r="BZ23" s="22" t="n">
        <f aca="false">BZ14*Supuestos!$B$38</f>
        <v>0</v>
      </c>
      <c r="CA23" s="22" t="n">
        <f aca="false">CA14*Supuestos!$B$38</f>
        <v>0</v>
      </c>
      <c r="CB23" s="22" t="n">
        <f aca="false">CB14*Supuestos!$B$38</f>
        <v>0</v>
      </c>
      <c r="CC23" s="22" t="n">
        <f aca="false">CC14*Supuestos!$B$38</f>
        <v>0</v>
      </c>
      <c r="CD23" s="22" t="n">
        <f aca="false">CD14*Supuestos!$B$38</f>
        <v>0</v>
      </c>
      <c r="CE23" s="22" t="n">
        <f aca="false">CE14*Supuestos!$B$38</f>
        <v>0</v>
      </c>
      <c r="CF23" s="22" t="n">
        <f aca="false">CF14*Supuestos!$B$38</f>
        <v>0</v>
      </c>
      <c r="CG23" s="22" t="n">
        <f aca="false">CG14*Supuestos!$B$38</f>
        <v>0</v>
      </c>
      <c r="CH23" s="22" t="n">
        <f aca="false">CH14*Supuestos!$B$38</f>
        <v>0</v>
      </c>
    </row>
    <row r="24" customFormat="false" ht="15" hidden="false" customHeight="false" outlineLevel="0" collapsed="false">
      <c r="A24" s="8" t="s">
        <v>168</v>
      </c>
      <c r="B24" s="9" t="n">
        <f aca="false">SUM(C24:CH24)</f>
        <v>5977288.2</v>
      </c>
      <c r="C24" s="9" t="n">
        <f aca="false">SUM(C16:C23)</f>
        <v>75000</v>
      </c>
      <c r="D24" s="9" t="n">
        <f aca="false">SUM(D16:D23)</f>
        <v>75000</v>
      </c>
      <c r="E24" s="9" t="n">
        <f aca="false">SUM(E16:E23)</f>
        <v>75000</v>
      </c>
      <c r="F24" s="9" t="n">
        <f aca="false">SUM(F16:F23)</f>
        <v>75000</v>
      </c>
      <c r="G24" s="9" t="n">
        <f aca="false">SUM(G16:G23)</f>
        <v>237262.32</v>
      </c>
      <c r="H24" s="9" t="n">
        <f aca="false">SUM(H16:H23)</f>
        <v>237262.32</v>
      </c>
      <c r="I24" s="9" t="n">
        <f aca="false">SUM(I16:I23)</f>
        <v>162262.32</v>
      </c>
      <c r="J24" s="9" t="n">
        <f aca="false">SUM(J16:J23)</f>
        <v>162262.32</v>
      </c>
      <c r="K24" s="9" t="n">
        <f aca="false">SUM(K16:K23)</f>
        <v>235595.653333333</v>
      </c>
      <c r="L24" s="9" t="n">
        <f aca="false">SUM(L16:L23)</f>
        <v>392978.022244699</v>
      </c>
      <c r="M24" s="9" t="n">
        <f aca="false">SUM(M16:M23)</f>
        <v>392978.022244699</v>
      </c>
      <c r="N24" s="9" t="n">
        <f aca="false">SUM(N16:N23)</f>
        <v>392978.022244699</v>
      </c>
      <c r="O24" s="9" t="n">
        <f aca="false">SUM(O16:O23)</f>
        <v>392978.022244699</v>
      </c>
      <c r="P24" s="9" t="n">
        <f aca="false">SUM(P16:P23)</f>
        <v>392978.022244699</v>
      </c>
      <c r="Q24" s="9" t="n">
        <f aca="false">SUM(Q16:Q23)</f>
        <v>157382.368911365</v>
      </c>
      <c r="R24" s="9" t="n">
        <f aca="false">SUM(R16:R23)</f>
        <v>157382.368911365</v>
      </c>
      <c r="S24" s="9" t="n">
        <f aca="false">SUM(S16:S23)</f>
        <v>157382.368911365</v>
      </c>
      <c r="T24" s="9" t="n">
        <f aca="false">SUM(T16:T23)</f>
        <v>734057.368911366</v>
      </c>
      <c r="U24" s="9" t="n">
        <f aca="false">SUM(U16:U23)</f>
        <v>157382.368911365</v>
      </c>
      <c r="V24" s="9" t="n">
        <f aca="false">SUM(V16:V23)</f>
        <v>157382.368911365</v>
      </c>
      <c r="W24" s="9" t="n">
        <f aca="false">SUM(W16:W23)</f>
        <v>157382.368911365</v>
      </c>
      <c r="X24" s="9" t="n">
        <f aca="false">SUM(X16:X23)</f>
        <v>157382.368911365</v>
      </c>
      <c r="Y24" s="9" t="n">
        <f aca="false">SUM(Y16:Y23)</f>
        <v>27920.830449827</v>
      </c>
      <c r="Z24" s="9" t="n">
        <f aca="false">SUM(Z16:Z23)</f>
        <v>224270.830449827</v>
      </c>
      <c r="AA24" s="9" t="n">
        <f aca="false">SUM(AA16:AA23)</f>
        <v>27920.830449827</v>
      </c>
      <c r="AB24" s="9" t="n">
        <f aca="false">SUM(AB16:AB23)</f>
        <v>27920.830449827</v>
      </c>
      <c r="AC24" s="9" t="n">
        <f aca="false">SUM(AC16:AC23)</f>
        <v>27920.830449827</v>
      </c>
      <c r="AD24" s="9" t="n">
        <f aca="false">SUM(AD16:AD23)</f>
        <v>27920.830449827</v>
      </c>
      <c r="AE24" s="9" t="n">
        <f aca="false">SUM(AE16:AE23)</f>
        <v>27920.830449827</v>
      </c>
      <c r="AF24" s="9" t="n">
        <f aca="false">SUM(AF16:AF23)</f>
        <v>27920.830449827</v>
      </c>
      <c r="AG24" s="9" t="n">
        <f aca="false">SUM(AG16:AG23)</f>
        <v>27920.830449827</v>
      </c>
      <c r="AH24" s="9" t="n">
        <f aca="false">SUM(AH16:AH23)</f>
        <v>27920.830449827</v>
      </c>
      <c r="AI24" s="9" t="n">
        <f aca="false">SUM(AI16:AI23)</f>
        <v>27920.830449827</v>
      </c>
      <c r="AJ24" s="9" t="n">
        <f aca="false">SUM(AJ16:AJ23)</f>
        <v>27920.830449827</v>
      </c>
      <c r="AK24" s="9" t="n">
        <f aca="false">SUM(AK16:AK23)</f>
        <v>27920.830449827</v>
      </c>
      <c r="AL24" s="9" t="n">
        <f aca="false">SUM(AL16:AL23)</f>
        <v>27920.830449827</v>
      </c>
      <c r="AM24" s="9" t="n">
        <f aca="false">SUM(AM16:AM23)</f>
        <v>27920.830449827</v>
      </c>
      <c r="AN24" s="9" t="n">
        <f aca="false">SUM(AN16:AN23)</f>
        <v>27920.830449827</v>
      </c>
      <c r="AO24" s="9" t="n">
        <f aca="false">SUM(AO16:AO23)</f>
        <v>27920.830449827</v>
      </c>
      <c r="AP24" s="9" t="n">
        <f aca="false">SUM(AP16:AP23)</f>
        <v>27920.830449827</v>
      </c>
      <c r="AQ24" s="9" t="n">
        <f aca="false">SUM(AQ16:AQ23)</f>
        <v>27920.830449827</v>
      </c>
      <c r="AR24" s="9" t="n">
        <f aca="false">SUM(AR16:AR23)</f>
        <v>27920.830449827</v>
      </c>
      <c r="AS24" s="9" t="n">
        <f aca="false">SUM(AS16:AS23)</f>
        <v>27920.830449827</v>
      </c>
      <c r="AT24" s="9" t="n">
        <f aca="false">SUM(AT16:AT23)</f>
        <v>27920.830449827</v>
      </c>
      <c r="AU24" s="9" t="n">
        <f aca="false">SUM(AU16:AU23)</f>
        <v>27920.830449827</v>
      </c>
      <c r="AV24" s="9" t="n">
        <f aca="false">SUM(AV16:AV23)</f>
        <v>3490.10380622837</v>
      </c>
      <c r="AW24" s="9" t="n">
        <f aca="false">SUM(AW16:AW23)</f>
        <v>0</v>
      </c>
      <c r="AX24" s="9" t="n">
        <f aca="false">SUM(AX16:AX23)</f>
        <v>0</v>
      </c>
      <c r="AY24" s="9" t="n">
        <f aca="false">SUM(AY16:AY23)</f>
        <v>0</v>
      </c>
      <c r="AZ24" s="9" t="n">
        <f aca="false">SUM(AZ16:AZ23)</f>
        <v>0</v>
      </c>
      <c r="BA24" s="9" t="n">
        <f aca="false">SUM(BA16:BA23)</f>
        <v>0</v>
      </c>
      <c r="BB24" s="9" t="n">
        <f aca="false">SUM(BB16:BB23)</f>
        <v>0</v>
      </c>
      <c r="BC24" s="9" t="n">
        <f aca="false">SUM(BC16:BC23)</f>
        <v>0</v>
      </c>
      <c r="BD24" s="9" t="n">
        <f aca="false">SUM(BD16:BD23)</f>
        <v>0</v>
      </c>
      <c r="BE24" s="9" t="n">
        <f aca="false">SUM(BE16:BE23)</f>
        <v>0</v>
      </c>
      <c r="BF24" s="9" t="n">
        <f aca="false">SUM(BF16:BF23)</f>
        <v>0</v>
      </c>
      <c r="BG24" s="9" t="n">
        <f aca="false">SUM(BG16:BG23)</f>
        <v>0</v>
      </c>
      <c r="BH24" s="9" t="n">
        <f aca="false">SUM(BH16:BH23)</f>
        <v>0</v>
      </c>
      <c r="BI24" s="9" t="n">
        <f aca="false">SUM(BI16:BI23)</f>
        <v>0</v>
      </c>
      <c r="BJ24" s="9" t="n">
        <f aca="false">SUM(BJ16:BJ23)</f>
        <v>0</v>
      </c>
      <c r="BK24" s="9" t="n">
        <f aca="false">SUM(BK16:BK23)</f>
        <v>0</v>
      </c>
      <c r="BL24" s="9" t="n">
        <f aca="false">SUM(BL16:BL23)</f>
        <v>0</v>
      </c>
      <c r="BM24" s="9" t="n">
        <f aca="false">SUM(BM16:BM23)</f>
        <v>0</v>
      </c>
      <c r="BN24" s="9" t="n">
        <f aca="false">SUM(BN16:BN23)</f>
        <v>0</v>
      </c>
      <c r="BO24" s="9" t="n">
        <f aca="false">SUM(BO16:BO23)</f>
        <v>0</v>
      </c>
      <c r="BP24" s="9" t="n">
        <f aca="false">SUM(BP16:BP23)</f>
        <v>0</v>
      </c>
      <c r="BQ24" s="9" t="n">
        <f aca="false">SUM(BQ16:BQ23)</f>
        <v>0</v>
      </c>
      <c r="BR24" s="9" t="n">
        <f aca="false">SUM(BR16:BR23)</f>
        <v>0</v>
      </c>
      <c r="BS24" s="9" t="n">
        <f aca="false">SUM(BS16:BS23)</f>
        <v>0</v>
      </c>
      <c r="BT24" s="9" t="n">
        <f aca="false">SUM(BT16:BT23)</f>
        <v>0</v>
      </c>
      <c r="BU24" s="9" t="n">
        <f aca="false">SUM(BU16:BU23)</f>
        <v>0</v>
      </c>
      <c r="BV24" s="9" t="n">
        <f aca="false">SUM(BV16:BV23)</f>
        <v>0</v>
      </c>
      <c r="BW24" s="9" t="n">
        <f aca="false">SUM(BW16:BW23)</f>
        <v>0</v>
      </c>
      <c r="BX24" s="9" t="n">
        <f aca="false">SUM(BX16:BX23)</f>
        <v>0</v>
      </c>
      <c r="BY24" s="9" t="n">
        <f aca="false">SUM(BY16:BY23)</f>
        <v>0</v>
      </c>
      <c r="BZ24" s="9" t="n">
        <f aca="false">SUM(BZ16:BZ23)</f>
        <v>0</v>
      </c>
      <c r="CA24" s="9" t="n">
        <f aca="false">SUM(CA16:CA23)</f>
        <v>0</v>
      </c>
      <c r="CB24" s="9" t="n">
        <f aca="false">SUM(CB16:CB23)</f>
        <v>0</v>
      </c>
      <c r="CC24" s="9" t="n">
        <f aca="false">SUM(CC16:CC23)</f>
        <v>0</v>
      </c>
      <c r="CD24" s="9" t="n">
        <f aca="false">SUM(CD16:CD23)</f>
        <v>0</v>
      </c>
      <c r="CE24" s="9" t="n">
        <f aca="false">SUM(CE16:CE23)</f>
        <v>0</v>
      </c>
      <c r="CF24" s="9" t="n">
        <f aca="false">SUM(CF16:CF23)</f>
        <v>0</v>
      </c>
      <c r="CG24" s="9" t="n">
        <f aca="false">SUM(CG16:CG23)</f>
        <v>0</v>
      </c>
      <c r="CH24" s="9" t="n">
        <f aca="false">SUM(CH16:CH23)</f>
        <v>0</v>
      </c>
    </row>
    <row r="25" customFormat="false" ht="15" hidden="false" customHeight="false" outlineLevel="0" collapsed="false">
      <c r="A25" s="8" t="s">
        <v>169</v>
      </c>
      <c r="B25" s="9" t="n">
        <f aca="false">SUM(C25:CH25)</f>
        <v>6307702.60808052</v>
      </c>
      <c r="C25" s="9" t="n">
        <f aca="false">C13-C24</f>
        <v>-75000</v>
      </c>
      <c r="D25" s="9" t="n">
        <f aca="false">D13-D24</f>
        <v>-75000</v>
      </c>
      <c r="E25" s="9" t="n">
        <f aca="false">E13-E24</f>
        <v>-75000</v>
      </c>
      <c r="F25" s="9" t="n">
        <f aca="false">F13-F24</f>
        <v>-75000</v>
      </c>
      <c r="G25" s="9" t="n">
        <f aca="false">G13-G24</f>
        <v>-237262.32</v>
      </c>
      <c r="H25" s="9" t="n">
        <f aca="false">H13-H24</f>
        <v>-237262.32</v>
      </c>
      <c r="I25" s="9" t="n">
        <f aca="false">I13-I24</f>
        <v>-162262.32</v>
      </c>
      <c r="J25" s="9" t="n">
        <f aca="false">J13-J24</f>
        <v>-162262.32</v>
      </c>
      <c r="K25" s="9" t="n">
        <f aca="false">K13-K24</f>
        <v>-235595.653333333</v>
      </c>
      <c r="L25" s="9" t="n">
        <f aca="false">L13-L24</f>
        <v>-354578.022244699</v>
      </c>
      <c r="M25" s="9" t="n">
        <f aca="false">M13-M24</f>
        <v>-351602.020085467</v>
      </c>
      <c r="N25" s="9" t="n">
        <f aca="false">N13-N24</f>
        <v>-348626.017926236</v>
      </c>
      <c r="O25" s="9" t="n">
        <f aca="false">O13-O24</f>
        <v>-345650.015767004</v>
      </c>
      <c r="P25" s="9" t="n">
        <f aca="false">P13-P24</f>
        <v>-342674.013607773</v>
      </c>
      <c r="Q25" s="9" t="n">
        <f aca="false">Q13-Q24</f>
        <v>-104102.358115208</v>
      </c>
      <c r="R25" s="9" t="n">
        <f aca="false">R13-R24</f>
        <v>-101126.355955977</v>
      </c>
      <c r="S25" s="9" t="n">
        <f aca="false">S13-S24</f>
        <v>-98150.3537967452</v>
      </c>
      <c r="T25" s="9" t="n">
        <f aca="false">T13-T24</f>
        <v>4570650.64836249</v>
      </c>
      <c r="U25" s="9" t="n">
        <f aca="false">U13-U24</f>
        <v>-92198.3494782823</v>
      </c>
      <c r="V25" s="9" t="n">
        <f aca="false">V13-V24</f>
        <v>-89222.3473190508</v>
      </c>
      <c r="W25" s="9" t="n">
        <f aca="false">W13-W24</f>
        <v>-86246.3451598193</v>
      </c>
      <c r="X25" s="9" t="n">
        <f aca="false">X13-X24</f>
        <v>-83270.3430005879</v>
      </c>
      <c r="Y25" s="9" t="n">
        <f aca="false">Y13-Y24</f>
        <v>49167.1976201821</v>
      </c>
      <c r="Z25" s="9" t="n">
        <f aca="false">Z13-Z24</f>
        <v>1640793.19977941</v>
      </c>
      <c r="AA25" s="9" t="n">
        <f aca="false">AA13-AA24</f>
        <v>55119.201938645</v>
      </c>
      <c r="AB25" s="9" t="n">
        <f aca="false">AB13-AB24</f>
        <v>58095.2040978765</v>
      </c>
      <c r="AC25" s="9" t="n">
        <f aca="false">AC13-AC24</f>
        <v>61071.2062571079</v>
      </c>
      <c r="AD25" s="9" t="n">
        <f aca="false">AD13-AD24</f>
        <v>64047.2084163394</v>
      </c>
      <c r="AE25" s="9" t="n">
        <f aca="false">AE13-AE24</f>
        <v>67023.2105755709</v>
      </c>
      <c r="AF25" s="9" t="n">
        <f aca="false">AF13-AF24</f>
        <v>69999.2127348024</v>
      </c>
      <c r="AG25" s="9" t="n">
        <f aca="false">AG13-AG24</f>
        <v>72975.2148940338</v>
      </c>
      <c r="AH25" s="9" t="n">
        <f aca="false">AH13-AH24</f>
        <v>75951.2170532653</v>
      </c>
      <c r="AI25" s="9" t="n">
        <f aca="false">AI13-AI24</f>
        <v>78927.2192124967</v>
      </c>
      <c r="AJ25" s="9" t="n">
        <f aca="false">AJ13-AJ24</f>
        <v>81903.2213717282</v>
      </c>
      <c r="AK25" s="9" t="n">
        <f aca="false">AK13-AK24</f>
        <v>84879.2235309597</v>
      </c>
      <c r="AL25" s="9" t="n">
        <f aca="false">AL13-AL24</f>
        <v>87855.2256901912</v>
      </c>
      <c r="AM25" s="9" t="n">
        <f aca="false">AM13-AM24</f>
        <v>90831.2278494226</v>
      </c>
      <c r="AN25" s="9" t="n">
        <f aca="false">AN13-AN24</f>
        <v>93807.2300086541</v>
      </c>
      <c r="AO25" s="9" t="n">
        <f aca="false">AO13-AO24</f>
        <v>96783.2321678856</v>
      </c>
      <c r="AP25" s="9" t="n">
        <f aca="false">AP13-AP24</f>
        <v>99759.234327117</v>
      </c>
      <c r="AQ25" s="9" t="n">
        <f aca="false">AQ13-AQ24</f>
        <v>102735.236486348</v>
      </c>
      <c r="AR25" s="9" t="n">
        <f aca="false">AR13-AR24</f>
        <v>105711.23864558</v>
      </c>
      <c r="AS25" s="9" t="n">
        <f aca="false">AS13-AS24</f>
        <v>108687.240804811</v>
      </c>
      <c r="AT25" s="9" t="n">
        <f aca="false">AT13-AT24</f>
        <v>111663.242964043</v>
      </c>
      <c r="AU25" s="9" t="n">
        <f aca="false">AU13-AU24</f>
        <v>114639.245123274</v>
      </c>
      <c r="AV25" s="9" t="n">
        <f aca="false">AV13-AV24</f>
        <v>108445.973926104</v>
      </c>
      <c r="AW25" s="9" t="n">
        <f aca="false">AW13-AW24</f>
        <v>104532.075843005</v>
      </c>
      <c r="AX25" s="9" t="n">
        <f aca="false">AX13-AX24</f>
        <v>101556.073683774</v>
      </c>
      <c r="AY25" s="9" t="n">
        <f aca="false">AY13-AY24</f>
        <v>98580.0715245423</v>
      </c>
      <c r="AZ25" s="9" t="n">
        <f aca="false">AZ13-AZ24</f>
        <v>95604.0693653109</v>
      </c>
      <c r="BA25" s="9" t="n">
        <f aca="false">BA13-BA24</f>
        <v>92628.0672060794</v>
      </c>
      <c r="BB25" s="9" t="n">
        <f aca="false">BB13-BB24</f>
        <v>89652.0650468479</v>
      </c>
      <c r="BC25" s="9" t="n">
        <f aca="false">BC13-BC24</f>
        <v>86676.0628876165</v>
      </c>
      <c r="BD25" s="9" t="n">
        <f aca="false">BD13-BD24</f>
        <v>83700.060728385</v>
      </c>
      <c r="BE25" s="9" t="n">
        <f aca="false">BE13-BE24</f>
        <v>80724.0585691535</v>
      </c>
      <c r="BF25" s="9" t="n">
        <f aca="false">BF13-BF24</f>
        <v>77748.0564099221</v>
      </c>
      <c r="BG25" s="9" t="n">
        <f aca="false">BG13-BG24</f>
        <v>74772.0542506906</v>
      </c>
      <c r="BH25" s="9" t="n">
        <f aca="false">BH13-BH24</f>
        <v>71796.0520914591</v>
      </c>
      <c r="BI25" s="9" t="n">
        <f aca="false">BI13-BI24</f>
        <v>68820.0499322277</v>
      </c>
      <c r="BJ25" s="9" t="n">
        <f aca="false">BJ13-BJ24</f>
        <v>65844.0477729962</v>
      </c>
      <c r="BK25" s="9" t="n">
        <f aca="false">BK13-BK24</f>
        <v>62868.0456137647</v>
      </c>
      <c r="BL25" s="9" t="n">
        <f aca="false">BL13-BL24</f>
        <v>59892.0434545333</v>
      </c>
      <c r="BM25" s="9" t="n">
        <f aca="false">BM13-BM24</f>
        <v>56916.0412953018</v>
      </c>
      <c r="BN25" s="9" t="n">
        <f aca="false">BN13-BN24</f>
        <v>53940.0391360703</v>
      </c>
      <c r="BO25" s="9" t="n">
        <f aca="false">BO13-BO24</f>
        <v>50964.0369768389</v>
      </c>
      <c r="BP25" s="9" t="n">
        <f aca="false">BP13-BP24</f>
        <v>47988.0348176074</v>
      </c>
      <c r="BQ25" s="9" t="n">
        <f aca="false">BQ13-BQ24</f>
        <v>45012.0326583759</v>
      </c>
      <c r="BR25" s="9" t="n">
        <f aca="false">BR13-BR24</f>
        <v>42036.0304991445</v>
      </c>
      <c r="BS25" s="9" t="n">
        <f aca="false">BS13-BS24</f>
        <v>39060.028339913</v>
      </c>
      <c r="BT25" s="9" t="n">
        <f aca="false">BT13-BT24</f>
        <v>36084.0261806815</v>
      </c>
      <c r="BU25" s="9" t="n">
        <f aca="false">BU13-BU24</f>
        <v>33108.0240214501</v>
      </c>
      <c r="BV25" s="9" t="n">
        <f aca="false">BV13-BV24</f>
        <v>30132.0218622186</v>
      </c>
      <c r="BW25" s="9" t="n">
        <f aca="false">BW13-BW24</f>
        <v>27156.0197029871</v>
      </c>
      <c r="BX25" s="9" t="n">
        <f aca="false">BX13-BX24</f>
        <v>24180.0175437557</v>
      </c>
      <c r="BY25" s="9" t="n">
        <f aca="false">BY13-BY24</f>
        <v>21204.0153845242</v>
      </c>
      <c r="BZ25" s="9" t="n">
        <f aca="false">BZ13-BZ24</f>
        <v>18228.0132252927</v>
      </c>
      <c r="CA25" s="9" t="n">
        <f aca="false">CA13-CA24</f>
        <v>15252.0110660613</v>
      </c>
      <c r="CB25" s="9" t="n">
        <f aca="false">CB13-CB24</f>
        <v>12276.0089068298</v>
      </c>
      <c r="CC25" s="9" t="n">
        <f aca="false">CC13-CC24</f>
        <v>9300.00674759833</v>
      </c>
      <c r="CD25" s="9" t="n">
        <f aca="false">CD13-CD24</f>
        <v>6324.00458836687</v>
      </c>
      <c r="CE25" s="9" t="n">
        <f aca="false">CE13-CE24</f>
        <v>3348.0024291354</v>
      </c>
      <c r="CF25" s="9" t="n">
        <f aca="false">CF13-CF24</f>
        <v>372.000269903933</v>
      </c>
      <c r="CG25" s="9" t="n">
        <f aca="false">CG13-CG24</f>
        <v>0</v>
      </c>
      <c r="CH25" s="9" t="n">
        <f aca="false">CH13-CH24</f>
        <v>0</v>
      </c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</row>
    <row r="27" customFormat="false" ht="15" hidden="false" customHeight="false" outlineLevel="0" collapsed="false">
      <c r="A27" s="6" t="s">
        <v>170</v>
      </c>
      <c r="B27" s="9" t="n">
        <f aca="false">SUM(C27:CH27)</f>
        <v>2000000</v>
      </c>
      <c r="C27" s="22" t="n">
        <f aca="false">IF(C$3=Supuestos!$B$41,Supuestos!$B$40,0)</f>
        <v>0</v>
      </c>
      <c r="D27" s="22" t="n">
        <f aca="false">IF(D$3=Supuestos!$B$41,Supuestos!$B$40,0)</f>
        <v>0</v>
      </c>
      <c r="E27" s="22" t="n">
        <f aca="false">IF(E$3=Supuestos!$B$41,Supuestos!$B$40,0)</f>
        <v>0</v>
      </c>
      <c r="F27" s="22" t="n">
        <f aca="false">IF(F$3=Supuestos!$B$41,Supuestos!$B$40,0)</f>
        <v>0</v>
      </c>
      <c r="G27" s="22" t="n">
        <f aca="false">IF(G$3=Supuestos!$B$41,Supuestos!$B$40,0)</f>
        <v>0</v>
      </c>
      <c r="H27" s="22" t="n">
        <f aca="false">IF(H$3=Supuestos!$B$41,Supuestos!$B$40,0)</f>
        <v>2000000</v>
      </c>
      <c r="I27" s="22" t="n">
        <f aca="false">IF(I$3=Supuestos!$B$41,Supuestos!$B$40,0)</f>
        <v>0</v>
      </c>
      <c r="J27" s="22" t="n">
        <f aca="false">IF(J$3=Supuestos!$B$41,Supuestos!$B$40,0)</f>
        <v>0</v>
      </c>
      <c r="K27" s="22" t="n">
        <f aca="false">IF(K$3=Supuestos!$B$41,Supuestos!$B$40,0)</f>
        <v>0</v>
      </c>
      <c r="L27" s="22" t="n">
        <f aca="false">IF(L$3=Supuestos!$B$41,Supuestos!$B$40,0)</f>
        <v>0</v>
      </c>
      <c r="M27" s="22" t="n">
        <f aca="false">IF(M$3=Supuestos!$B$41,Supuestos!$B$40,0)</f>
        <v>0</v>
      </c>
      <c r="N27" s="22" t="n">
        <f aca="false">IF(N$3=Supuestos!$B$41,Supuestos!$B$40,0)</f>
        <v>0</v>
      </c>
      <c r="O27" s="22" t="n">
        <f aca="false">IF(O$3=Supuestos!$B$41,Supuestos!$B$40,0)</f>
        <v>0</v>
      </c>
      <c r="P27" s="22" t="n">
        <f aca="false">IF(P$3=Supuestos!$B$41,Supuestos!$B$40,0)</f>
        <v>0</v>
      </c>
      <c r="Q27" s="22" t="n">
        <f aca="false">IF(Q$3=Supuestos!$B$41,Supuestos!$B$40,0)</f>
        <v>0</v>
      </c>
      <c r="R27" s="22" t="n">
        <f aca="false">IF(R$3=Supuestos!$B$41,Supuestos!$B$40,0)</f>
        <v>0</v>
      </c>
      <c r="S27" s="22" t="n">
        <f aca="false">IF(S$3=Supuestos!$B$41,Supuestos!$B$40,0)</f>
        <v>0</v>
      </c>
      <c r="T27" s="22" t="n">
        <f aca="false">IF(T$3=Supuestos!$B$41,Supuestos!$B$40,0)</f>
        <v>0</v>
      </c>
      <c r="U27" s="22" t="n">
        <f aca="false">IF(U$3=Supuestos!$B$41,Supuestos!$B$40,0)</f>
        <v>0</v>
      </c>
      <c r="V27" s="22" t="n">
        <f aca="false">IF(V$3=Supuestos!$B$41,Supuestos!$B$40,0)</f>
        <v>0</v>
      </c>
      <c r="W27" s="22" t="n">
        <f aca="false">IF(W$3=Supuestos!$B$41,Supuestos!$B$40,0)</f>
        <v>0</v>
      </c>
      <c r="X27" s="22" t="n">
        <f aca="false">IF(X$3=Supuestos!$B$41,Supuestos!$B$40,0)</f>
        <v>0</v>
      </c>
      <c r="Y27" s="22" t="n">
        <f aca="false">IF(Y$3=Supuestos!$B$41,Supuestos!$B$40,0)</f>
        <v>0</v>
      </c>
      <c r="Z27" s="22" t="n">
        <f aca="false">IF(Z$3=Supuestos!$B$41,Supuestos!$B$40,0)</f>
        <v>0</v>
      </c>
      <c r="AA27" s="22" t="n">
        <f aca="false">IF(AA$3=Supuestos!$B$41,Supuestos!$B$40,0)</f>
        <v>0</v>
      </c>
      <c r="AB27" s="22" t="n">
        <f aca="false">IF(AB$3=Supuestos!$B$41,Supuestos!$B$40,0)</f>
        <v>0</v>
      </c>
      <c r="AC27" s="22" t="n">
        <f aca="false">IF(AC$3=Supuestos!$B$41,Supuestos!$B$40,0)</f>
        <v>0</v>
      </c>
      <c r="AD27" s="22" t="n">
        <f aca="false">IF(AD$3=Supuestos!$B$41,Supuestos!$B$40,0)</f>
        <v>0</v>
      </c>
      <c r="AE27" s="22" t="n">
        <f aca="false">IF(AE$3=Supuestos!$B$41,Supuestos!$B$40,0)</f>
        <v>0</v>
      </c>
      <c r="AF27" s="22" t="n">
        <f aca="false">IF(AF$3=Supuestos!$B$41,Supuestos!$B$40,0)</f>
        <v>0</v>
      </c>
      <c r="AG27" s="22" t="n">
        <f aca="false">IF(AG$3=Supuestos!$B$41,Supuestos!$B$40,0)</f>
        <v>0</v>
      </c>
      <c r="AH27" s="22" t="n">
        <f aca="false">IF(AH$3=Supuestos!$B$41,Supuestos!$B$40,0)</f>
        <v>0</v>
      </c>
      <c r="AI27" s="22" t="n">
        <f aca="false">IF(AI$3=Supuestos!$B$41,Supuestos!$B$40,0)</f>
        <v>0</v>
      </c>
      <c r="AJ27" s="22" t="n">
        <f aca="false">IF(AJ$3=Supuestos!$B$41,Supuestos!$B$40,0)</f>
        <v>0</v>
      </c>
      <c r="AK27" s="22" t="n">
        <f aca="false">IF(AK$3=Supuestos!$B$41,Supuestos!$B$40,0)</f>
        <v>0</v>
      </c>
      <c r="AL27" s="22" t="n">
        <f aca="false">IF(AL$3=Supuestos!$B$41,Supuestos!$B$40,0)</f>
        <v>0</v>
      </c>
      <c r="AM27" s="22" t="n">
        <f aca="false">IF(AM$3=Supuestos!$B$41,Supuestos!$B$40,0)</f>
        <v>0</v>
      </c>
      <c r="AN27" s="22" t="n">
        <f aca="false">IF(AN$3=Supuestos!$B$41,Supuestos!$B$40,0)</f>
        <v>0</v>
      </c>
      <c r="AO27" s="22" t="n">
        <f aca="false">IF(AO$3=Supuestos!$B$41,Supuestos!$B$40,0)</f>
        <v>0</v>
      </c>
      <c r="AP27" s="22" t="n">
        <f aca="false">IF(AP$3=Supuestos!$B$41,Supuestos!$B$40,0)</f>
        <v>0</v>
      </c>
      <c r="AQ27" s="22" t="n">
        <f aca="false">IF(AQ$3=Supuestos!$B$41,Supuestos!$B$40,0)</f>
        <v>0</v>
      </c>
      <c r="AR27" s="22" t="n">
        <f aca="false">IF(AR$3=Supuestos!$B$41,Supuestos!$B$40,0)</f>
        <v>0</v>
      </c>
      <c r="AS27" s="22" t="n">
        <f aca="false">IF(AS$3=Supuestos!$B$41,Supuestos!$B$40,0)</f>
        <v>0</v>
      </c>
      <c r="AT27" s="22" t="n">
        <f aca="false">IF(AT$3=Supuestos!$B$41,Supuestos!$B$40,0)</f>
        <v>0</v>
      </c>
      <c r="AU27" s="22" t="n">
        <f aca="false">IF(AU$3=Supuestos!$B$41,Supuestos!$B$40,0)</f>
        <v>0</v>
      </c>
      <c r="AV27" s="22" t="n">
        <f aca="false">IF(AV$3=Supuestos!$B$41,Supuestos!$B$40,0)</f>
        <v>0</v>
      </c>
      <c r="AW27" s="22" t="n">
        <f aca="false">IF(AW$3=Supuestos!$B$41,Supuestos!$B$40,0)</f>
        <v>0</v>
      </c>
      <c r="AX27" s="22" t="n">
        <f aca="false">IF(AX$3=Supuestos!$B$41,Supuestos!$B$40,0)</f>
        <v>0</v>
      </c>
      <c r="AY27" s="22" t="n">
        <f aca="false">IF(AY$3=Supuestos!$B$41,Supuestos!$B$40,0)</f>
        <v>0</v>
      </c>
      <c r="AZ27" s="22" t="n">
        <f aca="false">IF(AZ$3=Supuestos!$B$41,Supuestos!$B$40,0)</f>
        <v>0</v>
      </c>
      <c r="BA27" s="22" t="n">
        <f aca="false">IF(BA$3=Supuestos!$B$41,Supuestos!$B$40,0)</f>
        <v>0</v>
      </c>
      <c r="BB27" s="22" t="n">
        <f aca="false">IF(BB$3=Supuestos!$B$41,Supuestos!$B$40,0)</f>
        <v>0</v>
      </c>
      <c r="BC27" s="22" t="n">
        <f aca="false">IF(BC$3=Supuestos!$B$41,Supuestos!$B$40,0)</f>
        <v>0</v>
      </c>
      <c r="BD27" s="22" t="n">
        <f aca="false">IF(BD$3=Supuestos!$B$41,Supuestos!$B$40,0)</f>
        <v>0</v>
      </c>
      <c r="BE27" s="22" t="n">
        <f aca="false">IF(BE$3=Supuestos!$B$41,Supuestos!$B$40,0)</f>
        <v>0</v>
      </c>
      <c r="BF27" s="22" t="n">
        <f aca="false">IF(BF$3=Supuestos!$B$41,Supuestos!$B$40,0)</f>
        <v>0</v>
      </c>
      <c r="BG27" s="22" t="n">
        <f aca="false">IF(BG$3=Supuestos!$B$41,Supuestos!$B$40,0)</f>
        <v>0</v>
      </c>
      <c r="BH27" s="22" t="n">
        <f aca="false">IF(BH$3=Supuestos!$B$41,Supuestos!$B$40,0)</f>
        <v>0</v>
      </c>
      <c r="BI27" s="22" t="n">
        <f aca="false">IF(BI$3=Supuestos!$B$41,Supuestos!$B$40,0)</f>
        <v>0</v>
      </c>
      <c r="BJ27" s="22" t="n">
        <f aca="false">IF(BJ$3=Supuestos!$B$41,Supuestos!$B$40,0)</f>
        <v>0</v>
      </c>
      <c r="BK27" s="22" t="n">
        <f aca="false">IF(BK$3=Supuestos!$B$41,Supuestos!$B$40,0)</f>
        <v>0</v>
      </c>
      <c r="BL27" s="22" t="n">
        <f aca="false">IF(BL$3=Supuestos!$B$41,Supuestos!$B$40,0)</f>
        <v>0</v>
      </c>
      <c r="BM27" s="22" t="n">
        <f aca="false">IF(BM$3=Supuestos!$B$41,Supuestos!$B$40,0)</f>
        <v>0</v>
      </c>
      <c r="BN27" s="22" t="n">
        <f aca="false">IF(BN$3=Supuestos!$B$41,Supuestos!$B$40,0)</f>
        <v>0</v>
      </c>
      <c r="BO27" s="22" t="n">
        <f aca="false">IF(BO$3=Supuestos!$B$41,Supuestos!$B$40,0)</f>
        <v>0</v>
      </c>
      <c r="BP27" s="22" t="n">
        <f aca="false">IF(BP$3=Supuestos!$B$41,Supuestos!$B$40,0)</f>
        <v>0</v>
      </c>
      <c r="BQ27" s="22" t="n">
        <f aca="false">IF(BQ$3=Supuestos!$B$41,Supuestos!$B$40,0)</f>
        <v>0</v>
      </c>
      <c r="BR27" s="22" t="n">
        <f aca="false">IF(BR$3=Supuestos!$B$41,Supuestos!$B$40,0)</f>
        <v>0</v>
      </c>
      <c r="BS27" s="22" t="n">
        <f aca="false">IF(BS$3=Supuestos!$B$41,Supuestos!$B$40,0)</f>
        <v>0</v>
      </c>
      <c r="BT27" s="22" t="n">
        <f aca="false">IF(BT$3=Supuestos!$B$41,Supuestos!$B$40,0)</f>
        <v>0</v>
      </c>
      <c r="BU27" s="22" t="n">
        <f aca="false">IF(BU$3=Supuestos!$B$41,Supuestos!$B$40,0)</f>
        <v>0</v>
      </c>
      <c r="BV27" s="22" t="n">
        <f aca="false">IF(BV$3=Supuestos!$B$41,Supuestos!$B$40,0)</f>
        <v>0</v>
      </c>
      <c r="BW27" s="22" t="n">
        <f aca="false">IF(BW$3=Supuestos!$B$41,Supuestos!$B$40,0)</f>
        <v>0</v>
      </c>
      <c r="BX27" s="22" t="n">
        <f aca="false">IF(BX$3=Supuestos!$B$41,Supuestos!$B$40,0)</f>
        <v>0</v>
      </c>
      <c r="BY27" s="22" t="n">
        <f aca="false">IF(BY$3=Supuestos!$B$41,Supuestos!$B$40,0)</f>
        <v>0</v>
      </c>
      <c r="BZ27" s="22" t="n">
        <f aca="false">IF(BZ$3=Supuestos!$B$41,Supuestos!$B$40,0)</f>
        <v>0</v>
      </c>
      <c r="CA27" s="22" t="n">
        <f aca="false">IF(CA$3=Supuestos!$B$41,Supuestos!$B$40,0)</f>
        <v>0</v>
      </c>
      <c r="CB27" s="22" t="n">
        <f aca="false">IF(CB$3=Supuestos!$B$41,Supuestos!$B$40,0)</f>
        <v>0</v>
      </c>
      <c r="CC27" s="22" t="n">
        <f aca="false">IF(CC$3=Supuestos!$B$41,Supuestos!$B$40,0)</f>
        <v>0</v>
      </c>
      <c r="CD27" s="22" t="n">
        <f aca="false">IF(CD$3=Supuestos!$B$41,Supuestos!$B$40,0)</f>
        <v>0</v>
      </c>
      <c r="CE27" s="22" t="n">
        <f aca="false">IF(CE$3=Supuestos!$B$41,Supuestos!$B$40,0)</f>
        <v>0</v>
      </c>
      <c r="CF27" s="22" t="n">
        <f aca="false">IF(CF$3=Supuestos!$B$41,Supuestos!$B$40,0)</f>
        <v>0</v>
      </c>
      <c r="CG27" s="22" t="n">
        <f aca="false">IF(CG$3=Supuestos!$B$41,Supuestos!$B$40,0)</f>
        <v>0</v>
      </c>
      <c r="CH27" s="22" t="n">
        <f aca="false">IF(CH$3=Supuestos!$B$41,Supuestos!$B$40,0)</f>
        <v>0</v>
      </c>
    </row>
    <row r="28" customFormat="false" ht="15" hidden="false" customHeight="false" outlineLevel="0" collapsed="false">
      <c r="A28" s="6" t="s">
        <v>171</v>
      </c>
      <c r="B28" s="9" t="n">
        <f aca="false">SUM(C28:CH28)</f>
        <v>-40000</v>
      </c>
      <c r="C28" s="22" t="n">
        <f aca="false">-IF(C$3=Supuestos!$B$41,Supuestos!$B$40*Supuestos!$B$43,0)</f>
        <v>-0</v>
      </c>
      <c r="D28" s="22" t="n">
        <f aca="false">-IF(D$3=Supuestos!$B$41,Supuestos!$B$40*Supuestos!$B$43,0)</f>
        <v>-0</v>
      </c>
      <c r="E28" s="22" t="n">
        <f aca="false">-IF(E$3=Supuestos!$B$41,Supuestos!$B$40*Supuestos!$B$43,0)</f>
        <v>-0</v>
      </c>
      <c r="F28" s="22" t="n">
        <f aca="false">-IF(F$3=Supuestos!$B$41,Supuestos!$B$40*Supuestos!$B$43,0)</f>
        <v>-0</v>
      </c>
      <c r="G28" s="22" t="n">
        <f aca="false">-IF(G$3=Supuestos!$B$41,Supuestos!$B$40*Supuestos!$B$43,0)</f>
        <v>-0</v>
      </c>
      <c r="H28" s="22" t="n">
        <f aca="false">-IF(H$3=Supuestos!$B$41,Supuestos!$B$40*Supuestos!$B$43,0)</f>
        <v>-40000</v>
      </c>
      <c r="I28" s="22" t="n">
        <f aca="false">-IF(I$3=Supuestos!$B$41,Supuestos!$B$40*Supuestos!$B$43,0)</f>
        <v>-0</v>
      </c>
      <c r="J28" s="22" t="n">
        <f aca="false">-IF(J$3=Supuestos!$B$41,Supuestos!$B$40*Supuestos!$B$43,0)</f>
        <v>-0</v>
      </c>
      <c r="K28" s="22" t="n">
        <f aca="false">-IF(K$3=Supuestos!$B$41,Supuestos!$B$40*Supuestos!$B$43,0)</f>
        <v>-0</v>
      </c>
      <c r="L28" s="22" t="n">
        <f aca="false">-IF(L$3=Supuestos!$B$41,Supuestos!$B$40*Supuestos!$B$43,0)</f>
        <v>-0</v>
      </c>
      <c r="M28" s="22" t="n">
        <f aca="false">-IF(M$3=Supuestos!$B$41,Supuestos!$B$40*Supuestos!$B$43,0)</f>
        <v>-0</v>
      </c>
      <c r="N28" s="22" t="n">
        <f aca="false">-IF(N$3=Supuestos!$B$41,Supuestos!$B$40*Supuestos!$B$43,0)</f>
        <v>-0</v>
      </c>
      <c r="O28" s="22" t="n">
        <f aca="false">-IF(O$3=Supuestos!$B$41,Supuestos!$B$40*Supuestos!$B$43,0)</f>
        <v>-0</v>
      </c>
      <c r="P28" s="22" t="n">
        <f aca="false">-IF(P$3=Supuestos!$B$41,Supuestos!$B$40*Supuestos!$B$43,0)</f>
        <v>-0</v>
      </c>
      <c r="Q28" s="22" t="n">
        <f aca="false">-IF(Q$3=Supuestos!$B$41,Supuestos!$B$40*Supuestos!$B$43,0)</f>
        <v>-0</v>
      </c>
      <c r="R28" s="22" t="n">
        <f aca="false">-IF(R$3=Supuestos!$B$41,Supuestos!$B$40*Supuestos!$B$43,0)</f>
        <v>-0</v>
      </c>
      <c r="S28" s="22" t="n">
        <f aca="false">-IF(S$3=Supuestos!$B$41,Supuestos!$B$40*Supuestos!$B$43,0)</f>
        <v>-0</v>
      </c>
      <c r="T28" s="22" t="n">
        <f aca="false">-IF(T$3=Supuestos!$B$41,Supuestos!$B$40*Supuestos!$B$43,0)</f>
        <v>-0</v>
      </c>
      <c r="U28" s="22" t="n">
        <f aca="false">-IF(U$3=Supuestos!$B$41,Supuestos!$B$40*Supuestos!$B$43,0)</f>
        <v>-0</v>
      </c>
      <c r="V28" s="22" t="n">
        <f aca="false">-IF(V$3=Supuestos!$B$41,Supuestos!$B$40*Supuestos!$B$43,0)</f>
        <v>-0</v>
      </c>
      <c r="W28" s="22" t="n">
        <f aca="false">-IF(W$3=Supuestos!$B$41,Supuestos!$B$40*Supuestos!$B$43,0)</f>
        <v>-0</v>
      </c>
      <c r="X28" s="22" t="n">
        <f aca="false">-IF(X$3=Supuestos!$B$41,Supuestos!$B$40*Supuestos!$B$43,0)</f>
        <v>-0</v>
      </c>
      <c r="Y28" s="22" t="n">
        <f aca="false">-IF(Y$3=Supuestos!$B$41,Supuestos!$B$40*Supuestos!$B$43,0)</f>
        <v>-0</v>
      </c>
      <c r="Z28" s="22" t="n">
        <f aca="false">-IF(Z$3=Supuestos!$B$41,Supuestos!$B$40*Supuestos!$B$43,0)</f>
        <v>-0</v>
      </c>
      <c r="AA28" s="22" t="n">
        <f aca="false">-IF(AA$3=Supuestos!$B$41,Supuestos!$B$40*Supuestos!$B$43,0)</f>
        <v>-0</v>
      </c>
      <c r="AB28" s="22" t="n">
        <f aca="false">-IF(AB$3=Supuestos!$B$41,Supuestos!$B$40*Supuestos!$B$43,0)</f>
        <v>-0</v>
      </c>
      <c r="AC28" s="22" t="n">
        <f aca="false">-IF(AC$3=Supuestos!$B$41,Supuestos!$B$40*Supuestos!$B$43,0)</f>
        <v>-0</v>
      </c>
      <c r="AD28" s="22" t="n">
        <f aca="false">-IF(AD$3=Supuestos!$B$41,Supuestos!$B$40*Supuestos!$B$43,0)</f>
        <v>-0</v>
      </c>
      <c r="AE28" s="22" t="n">
        <f aca="false">-IF(AE$3=Supuestos!$B$41,Supuestos!$B$40*Supuestos!$B$43,0)</f>
        <v>-0</v>
      </c>
      <c r="AF28" s="22" t="n">
        <f aca="false">-IF(AF$3=Supuestos!$B$41,Supuestos!$B$40*Supuestos!$B$43,0)</f>
        <v>-0</v>
      </c>
      <c r="AG28" s="22" t="n">
        <f aca="false">-IF(AG$3=Supuestos!$B$41,Supuestos!$B$40*Supuestos!$B$43,0)</f>
        <v>-0</v>
      </c>
      <c r="AH28" s="22" t="n">
        <f aca="false">-IF(AH$3=Supuestos!$B$41,Supuestos!$B$40*Supuestos!$B$43,0)</f>
        <v>-0</v>
      </c>
      <c r="AI28" s="22" t="n">
        <f aca="false">-IF(AI$3=Supuestos!$B$41,Supuestos!$B$40*Supuestos!$B$43,0)</f>
        <v>-0</v>
      </c>
      <c r="AJ28" s="22" t="n">
        <f aca="false">-IF(AJ$3=Supuestos!$B$41,Supuestos!$B$40*Supuestos!$B$43,0)</f>
        <v>-0</v>
      </c>
      <c r="AK28" s="22" t="n">
        <f aca="false">-IF(AK$3=Supuestos!$B$41,Supuestos!$B$40*Supuestos!$B$43,0)</f>
        <v>-0</v>
      </c>
      <c r="AL28" s="22" t="n">
        <f aca="false">-IF(AL$3=Supuestos!$B$41,Supuestos!$B$40*Supuestos!$B$43,0)</f>
        <v>-0</v>
      </c>
      <c r="AM28" s="22" t="n">
        <f aca="false">-IF(AM$3=Supuestos!$B$41,Supuestos!$B$40*Supuestos!$B$43,0)</f>
        <v>-0</v>
      </c>
      <c r="AN28" s="22" t="n">
        <f aca="false">-IF(AN$3=Supuestos!$B$41,Supuestos!$B$40*Supuestos!$B$43,0)</f>
        <v>-0</v>
      </c>
      <c r="AO28" s="22" t="n">
        <f aca="false">-IF(AO$3=Supuestos!$B$41,Supuestos!$B$40*Supuestos!$B$43,0)</f>
        <v>-0</v>
      </c>
      <c r="AP28" s="22" t="n">
        <f aca="false">-IF(AP$3=Supuestos!$B$41,Supuestos!$B$40*Supuestos!$B$43,0)</f>
        <v>-0</v>
      </c>
      <c r="AQ28" s="22" t="n">
        <f aca="false">-IF(AQ$3=Supuestos!$B$41,Supuestos!$B$40*Supuestos!$B$43,0)</f>
        <v>-0</v>
      </c>
      <c r="AR28" s="22" t="n">
        <f aca="false">-IF(AR$3=Supuestos!$B$41,Supuestos!$B$40*Supuestos!$B$43,0)</f>
        <v>-0</v>
      </c>
      <c r="AS28" s="22" t="n">
        <f aca="false">-IF(AS$3=Supuestos!$B$41,Supuestos!$B$40*Supuestos!$B$43,0)</f>
        <v>-0</v>
      </c>
      <c r="AT28" s="22" t="n">
        <f aca="false">-IF(AT$3=Supuestos!$B$41,Supuestos!$B$40*Supuestos!$B$43,0)</f>
        <v>-0</v>
      </c>
      <c r="AU28" s="22" t="n">
        <f aca="false">-IF(AU$3=Supuestos!$B$41,Supuestos!$B$40*Supuestos!$B$43,0)</f>
        <v>-0</v>
      </c>
      <c r="AV28" s="22" t="n">
        <f aca="false">-IF(AV$3=Supuestos!$B$41,Supuestos!$B$40*Supuestos!$B$43,0)</f>
        <v>-0</v>
      </c>
      <c r="AW28" s="22" t="n">
        <f aca="false">-IF(AW$3=Supuestos!$B$41,Supuestos!$B$40*Supuestos!$B$43,0)</f>
        <v>-0</v>
      </c>
      <c r="AX28" s="22" t="n">
        <f aca="false">-IF(AX$3=Supuestos!$B$41,Supuestos!$B$40*Supuestos!$B$43,0)</f>
        <v>-0</v>
      </c>
      <c r="AY28" s="22" t="n">
        <f aca="false">-IF(AY$3=Supuestos!$B$41,Supuestos!$B$40*Supuestos!$B$43,0)</f>
        <v>-0</v>
      </c>
      <c r="AZ28" s="22" t="n">
        <f aca="false">-IF(AZ$3=Supuestos!$B$41,Supuestos!$B$40*Supuestos!$B$43,0)</f>
        <v>-0</v>
      </c>
      <c r="BA28" s="22" t="n">
        <f aca="false">-IF(BA$3=Supuestos!$B$41,Supuestos!$B$40*Supuestos!$B$43,0)</f>
        <v>-0</v>
      </c>
      <c r="BB28" s="22" t="n">
        <f aca="false">-IF(BB$3=Supuestos!$B$41,Supuestos!$B$40*Supuestos!$B$43,0)</f>
        <v>-0</v>
      </c>
      <c r="BC28" s="22" t="n">
        <f aca="false">-IF(BC$3=Supuestos!$B$41,Supuestos!$B$40*Supuestos!$B$43,0)</f>
        <v>-0</v>
      </c>
      <c r="BD28" s="22" t="n">
        <f aca="false">-IF(BD$3=Supuestos!$B$41,Supuestos!$B$40*Supuestos!$B$43,0)</f>
        <v>-0</v>
      </c>
      <c r="BE28" s="22" t="n">
        <f aca="false">-IF(BE$3=Supuestos!$B$41,Supuestos!$B$40*Supuestos!$B$43,0)</f>
        <v>-0</v>
      </c>
      <c r="BF28" s="22" t="n">
        <f aca="false">-IF(BF$3=Supuestos!$B$41,Supuestos!$B$40*Supuestos!$B$43,0)</f>
        <v>-0</v>
      </c>
      <c r="BG28" s="22" t="n">
        <f aca="false">-IF(BG$3=Supuestos!$B$41,Supuestos!$B$40*Supuestos!$B$43,0)</f>
        <v>-0</v>
      </c>
      <c r="BH28" s="22" t="n">
        <f aca="false">-IF(BH$3=Supuestos!$B$41,Supuestos!$B$40*Supuestos!$B$43,0)</f>
        <v>-0</v>
      </c>
      <c r="BI28" s="22" t="n">
        <f aca="false">-IF(BI$3=Supuestos!$B$41,Supuestos!$B$40*Supuestos!$B$43,0)</f>
        <v>-0</v>
      </c>
      <c r="BJ28" s="22" t="n">
        <f aca="false">-IF(BJ$3=Supuestos!$B$41,Supuestos!$B$40*Supuestos!$B$43,0)</f>
        <v>-0</v>
      </c>
      <c r="BK28" s="22" t="n">
        <f aca="false">-IF(BK$3=Supuestos!$B$41,Supuestos!$B$40*Supuestos!$B$43,0)</f>
        <v>-0</v>
      </c>
      <c r="BL28" s="22" t="n">
        <f aca="false">-IF(BL$3=Supuestos!$B$41,Supuestos!$B$40*Supuestos!$B$43,0)</f>
        <v>-0</v>
      </c>
      <c r="BM28" s="22" t="n">
        <f aca="false">-IF(BM$3=Supuestos!$B$41,Supuestos!$B$40*Supuestos!$B$43,0)</f>
        <v>-0</v>
      </c>
      <c r="BN28" s="22" t="n">
        <f aca="false">-IF(BN$3=Supuestos!$B$41,Supuestos!$B$40*Supuestos!$B$43,0)</f>
        <v>-0</v>
      </c>
      <c r="BO28" s="22" t="n">
        <f aca="false">-IF(BO$3=Supuestos!$B$41,Supuestos!$B$40*Supuestos!$B$43,0)</f>
        <v>-0</v>
      </c>
      <c r="BP28" s="22" t="n">
        <f aca="false">-IF(BP$3=Supuestos!$B$41,Supuestos!$B$40*Supuestos!$B$43,0)</f>
        <v>-0</v>
      </c>
      <c r="BQ28" s="22" t="n">
        <f aca="false">-IF(BQ$3=Supuestos!$B$41,Supuestos!$B$40*Supuestos!$B$43,0)</f>
        <v>-0</v>
      </c>
      <c r="BR28" s="22" t="n">
        <f aca="false">-IF(BR$3=Supuestos!$B$41,Supuestos!$B$40*Supuestos!$B$43,0)</f>
        <v>-0</v>
      </c>
      <c r="BS28" s="22" t="n">
        <f aca="false">-IF(BS$3=Supuestos!$B$41,Supuestos!$B$40*Supuestos!$B$43,0)</f>
        <v>-0</v>
      </c>
      <c r="BT28" s="22" t="n">
        <f aca="false">-IF(BT$3=Supuestos!$B$41,Supuestos!$B$40*Supuestos!$B$43,0)</f>
        <v>-0</v>
      </c>
      <c r="BU28" s="22" t="n">
        <f aca="false">-IF(BU$3=Supuestos!$B$41,Supuestos!$B$40*Supuestos!$B$43,0)</f>
        <v>-0</v>
      </c>
      <c r="BV28" s="22" t="n">
        <f aca="false">-IF(BV$3=Supuestos!$B$41,Supuestos!$B$40*Supuestos!$B$43,0)</f>
        <v>-0</v>
      </c>
      <c r="BW28" s="22" t="n">
        <f aca="false">-IF(BW$3=Supuestos!$B$41,Supuestos!$B$40*Supuestos!$B$43,0)</f>
        <v>-0</v>
      </c>
      <c r="BX28" s="22" t="n">
        <f aca="false">-IF(BX$3=Supuestos!$B$41,Supuestos!$B$40*Supuestos!$B$43,0)</f>
        <v>-0</v>
      </c>
      <c r="BY28" s="22" t="n">
        <f aca="false">-IF(BY$3=Supuestos!$B$41,Supuestos!$B$40*Supuestos!$B$43,0)</f>
        <v>-0</v>
      </c>
      <c r="BZ28" s="22" t="n">
        <f aca="false">-IF(BZ$3=Supuestos!$B$41,Supuestos!$B$40*Supuestos!$B$43,0)</f>
        <v>-0</v>
      </c>
      <c r="CA28" s="22" t="n">
        <f aca="false">-IF(CA$3=Supuestos!$B$41,Supuestos!$B$40*Supuestos!$B$43,0)</f>
        <v>-0</v>
      </c>
      <c r="CB28" s="22" t="n">
        <f aca="false">-IF(CB$3=Supuestos!$B$41,Supuestos!$B$40*Supuestos!$B$43,0)</f>
        <v>-0</v>
      </c>
      <c r="CC28" s="22" t="n">
        <f aca="false">-IF(CC$3=Supuestos!$B$41,Supuestos!$B$40*Supuestos!$B$43,0)</f>
        <v>-0</v>
      </c>
      <c r="CD28" s="22" t="n">
        <f aca="false">-IF(CD$3=Supuestos!$B$41,Supuestos!$B$40*Supuestos!$B$43,0)</f>
        <v>-0</v>
      </c>
      <c r="CE28" s="22" t="n">
        <f aca="false">-IF(CE$3=Supuestos!$B$41,Supuestos!$B$40*Supuestos!$B$43,0)</f>
        <v>-0</v>
      </c>
      <c r="CF28" s="22" t="n">
        <f aca="false">-IF(CF$3=Supuestos!$B$41,Supuestos!$B$40*Supuestos!$B$43,0)</f>
        <v>-0</v>
      </c>
      <c r="CG28" s="22" t="n">
        <f aca="false">-IF(CG$3=Supuestos!$B$41,Supuestos!$B$40*Supuestos!$B$43,0)</f>
        <v>-0</v>
      </c>
      <c r="CH28" s="22" t="n">
        <f aca="false">-IF(CH$3=Supuestos!$B$41,Supuestos!$B$40*Supuestos!$B$43,0)</f>
        <v>-0</v>
      </c>
    </row>
    <row r="29" customFormat="false" ht="15" hidden="false" customHeight="false" outlineLevel="0" collapsed="false">
      <c r="A29" s="6" t="s">
        <v>172</v>
      </c>
      <c r="B29" s="9" t="n">
        <f aca="false">SUM(C29:CH29)</f>
        <v>-320000</v>
      </c>
      <c r="C29" s="22" t="n">
        <f aca="false">-IF(AND(C$3&gt;Supuestos!$B$41,C$3&lt;=Supuestos!$B$44),Supuestos!$B$40*Supuestos!$B$42/12,0)</f>
        <v>-0</v>
      </c>
      <c r="D29" s="22" t="n">
        <f aca="false">-IF(AND(D$3&gt;Supuestos!$B$41,D$3&lt;=Supuestos!$B$44),Supuestos!$B$40*Supuestos!$B$42/12,0)</f>
        <v>-0</v>
      </c>
      <c r="E29" s="22" t="n">
        <f aca="false">-IF(AND(E$3&gt;Supuestos!$B$41,E$3&lt;=Supuestos!$B$44),Supuestos!$B$40*Supuestos!$B$42/12,0)</f>
        <v>-0</v>
      </c>
      <c r="F29" s="22" t="n">
        <f aca="false">-IF(AND(F$3&gt;Supuestos!$B$41,F$3&lt;=Supuestos!$B$44),Supuestos!$B$40*Supuestos!$B$42/12,0)</f>
        <v>-0</v>
      </c>
      <c r="G29" s="22" t="n">
        <f aca="false">-IF(AND(G$3&gt;Supuestos!$B$41,G$3&lt;=Supuestos!$B$44),Supuestos!$B$40*Supuestos!$B$42/12,0)</f>
        <v>-0</v>
      </c>
      <c r="H29" s="22" t="n">
        <f aca="false">-IF(AND(H$3&gt;Supuestos!$B$41,H$3&lt;=Supuestos!$B$44),Supuestos!$B$40*Supuestos!$B$42/12,0)</f>
        <v>-0</v>
      </c>
      <c r="I29" s="22" t="n">
        <f aca="false">-IF(AND(I$3&gt;Supuestos!$B$41,I$3&lt;=Supuestos!$B$44),Supuestos!$B$40*Supuestos!$B$42/12,0)</f>
        <v>-26666.6666666667</v>
      </c>
      <c r="J29" s="22" t="n">
        <f aca="false">-IF(AND(J$3&gt;Supuestos!$B$41,J$3&lt;=Supuestos!$B$44),Supuestos!$B$40*Supuestos!$B$42/12,0)</f>
        <v>-26666.6666666667</v>
      </c>
      <c r="K29" s="22" t="n">
        <f aca="false">-IF(AND(K$3&gt;Supuestos!$B$41,K$3&lt;=Supuestos!$B$44),Supuestos!$B$40*Supuestos!$B$42/12,0)</f>
        <v>-26666.6666666667</v>
      </c>
      <c r="L29" s="22" t="n">
        <f aca="false">-IF(AND(L$3&gt;Supuestos!$B$41,L$3&lt;=Supuestos!$B$44),Supuestos!$B$40*Supuestos!$B$42/12,0)</f>
        <v>-26666.6666666667</v>
      </c>
      <c r="M29" s="22" t="n">
        <f aca="false">-IF(AND(M$3&gt;Supuestos!$B$41,M$3&lt;=Supuestos!$B$44),Supuestos!$B$40*Supuestos!$B$42/12,0)</f>
        <v>-26666.6666666667</v>
      </c>
      <c r="N29" s="22" t="n">
        <f aca="false">-IF(AND(N$3&gt;Supuestos!$B$41,N$3&lt;=Supuestos!$B$44),Supuestos!$B$40*Supuestos!$B$42/12,0)</f>
        <v>-26666.6666666667</v>
      </c>
      <c r="O29" s="22" t="n">
        <f aca="false">-IF(AND(O$3&gt;Supuestos!$B$41,O$3&lt;=Supuestos!$B$44),Supuestos!$B$40*Supuestos!$B$42/12,0)</f>
        <v>-26666.6666666667</v>
      </c>
      <c r="P29" s="22" t="n">
        <f aca="false">-IF(AND(P$3&gt;Supuestos!$B$41,P$3&lt;=Supuestos!$B$44),Supuestos!$B$40*Supuestos!$B$42/12,0)</f>
        <v>-26666.6666666667</v>
      </c>
      <c r="Q29" s="22" t="n">
        <f aca="false">-IF(AND(Q$3&gt;Supuestos!$B$41,Q$3&lt;=Supuestos!$B$44),Supuestos!$B$40*Supuestos!$B$42/12,0)</f>
        <v>-26666.6666666667</v>
      </c>
      <c r="R29" s="22" t="n">
        <f aca="false">-IF(AND(R$3&gt;Supuestos!$B$41,R$3&lt;=Supuestos!$B$44),Supuestos!$B$40*Supuestos!$B$42/12,0)</f>
        <v>-26666.6666666667</v>
      </c>
      <c r="S29" s="22" t="n">
        <f aca="false">-IF(AND(S$3&gt;Supuestos!$B$41,S$3&lt;=Supuestos!$B$44),Supuestos!$B$40*Supuestos!$B$42/12,0)</f>
        <v>-26666.6666666667</v>
      </c>
      <c r="T29" s="22" t="n">
        <f aca="false">-IF(AND(T$3&gt;Supuestos!$B$41,T$3&lt;=Supuestos!$B$44),Supuestos!$B$40*Supuestos!$B$42/12,0)</f>
        <v>-26666.6666666667</v>
      </c>
      <c r="U29" s="22" t="n">
        <f aca="false">-IF(AND(U$3&gt;Supuestos!$B$41,U$3&lt;=Supuestos!$B$44),Supuestos!$B$40*Supuestos!$B$42/12,0)</f>
        <v>-0</v>
      </c>
      <c r="V29" s="22" t="n">
        <f aca="false">-IF(AND(V$3&gt;Supuestos!$B$41,V$3&lt;=Supuestos!$B$44),Supuestos!$B$40*Supuestos!$B$42/12,0)</f>
        <v>-0</v>
      </c>
      <c r="W29" s="22" t="n">
        <f aca="false">-IF(AND(W$3&gt;Supuestos!$B$41,W$3&lt;=Supuestos!$B$44),Supuestos!$B$40*Supuestos!$B$42/12,0)</f>
        <v>-0</v>
      </c>
      <c r="X29" s="22" t="n">
        <f aca="false">-IF(AND(X$3&gt;Supuestos!$B$41,X$3&lt;=Supuestos!$B$44),Supuestos!$B$40*Supuestos!$B$42/12,0)</f>
        <v>-0</v>
      </c>
      <c r="Y29" s="22" t="n">
        <f aca="false">-IF(AND(Y$3&gt;Supuestos!$B$41,Y$3&lt;=Supuestos!$B$44),Supuestos!$B$40*Supuestos!$B$42/12,0)</f>
        <v>-0</v>
      </c>
      <c r="Z29" s="22" t="n">
        <f aca="false">-IF(AND(Z$3&gt;Supuestos!$B$41,Z$3&lt;=Supuestos!$B$44),Supuestos!$B$40*Supuestos!$B$42/12,0)</f>
        <v>-0</v>
      </c>
      <c r="AA29" s="22" t="n">
        <f aca="false">-IF(AND(AA$3&gt;Supuestos!$B$41,AA$3&lt;=Supuestos!$B$44),Supuestos!$B$40*Supuestos!$B$42/12,0)</f>
        <v>-0</v>
      </c>
      <c r="AB29" s="22" t="n">
        <f aca="false">-IF(AND(AB$3&gt;Supuestos!$B$41,AB$3&lt;=Supuestos!$B$44),Supuestos!$B$40*Supuestos!$B$42/12,0)</f>
        <v>-0</v>
      </c>
      <c r="AC29" s="22" t="n">
        <f aca="false">-IF(AND(AC$3&gt;Supuestos!$B$41,AC$3&lt;=Supuestos!$B$44),Supuestos!$B$40*Supuestos!$B$42/12,0)</f>
        <v>-0</v>
      </c>
      <c r="AD29" s="22" t="n">
        <f aca="false">-IF(AND(AD$3&gt;Supuestos!$B$41,AD$3&lt;=Supuestos!$B$44),Supuestos!$B$40*Supuestos!$B$42/12,0)</f>
        <v>-0</v>
      </c>
      <c r="AE29" s="22" t="n">
        <f aca="false">-IF(AND(AE$3&gt;Supuestos!$B$41,AE$3&lt;=Supuestos!$B$44),Supuestos!$B$40*Supuestos!$B$42/12,0)</f>
        <v>-0</v>
      </c>
      <c r="AF29" s="22" t="n">
        <f aca="false">-IF(AND(AF$3&gt;Supuestos!$B$41,AF$3&lt;=Supuestos!$B$44),Supuestos!$B$40*Supuestos!$B$42/12,0)</f>
        <v>-0</v>
      </c>
      <c r="AG29" s="22" t="n">
        <f aca="false">-IF(AND(AG$3&gt;Supuestos!$B$41,AG$3&lt;=Supuestos!$B$44),Supuestos!$B$40*Supuestos!$B$42/12,0)</f>
        <v>-0</v>
      </c>
      <c r="AH29" s="22" t="n">
        <f aca="false">-IF(AND(AH$3&gt;Supuestos!$B$41,AH$3&lt;=Supuestos!$B$44),Supuestos!$B$40*Supuestos!$B$42/12,0)</f>
        <v>-0</v>
      </c>
      <c r="AI29" s="22" t="n">
        <f aca="false">-IF(AND(AI$3&gt;Supuestos!$B$41,AI$3&lt;=Supuestos!$B$44),Supuestos!$B$40*Supuestos!$B$42/12,0)</f>
        <v>-0</v>
      </c>
      <c r="AJ29" s="22" t="n">
        <f aca="false">-IF(AND(AJ$3&gt;Supuestos!$B$41,AJ$3&lt;=Supuestos!$B$44),Supuestos!$B$40*Supuestos!$B$42/12,0)</f>
        <v>-0</v>
      </c>
      <c r="AK29" s="22" t="n">
        <f aca="false">-IF(AND(AK$3&gt;Supuestos!$B$41,AK$3&lt;=Supuestos!$B$44),Supuestos!$B$40*Supuestos!$B$42/12,0)</f>
        <v>-0</v>
      </c>
      <c r="AL29" s="22" t="n">
        <f aca="false">-IF(AND(AL$3&gt;Supuestos!$B$41,AL$3&lt;=Supuestos!$B$44),Supuestos!$B$40*Supuestos!$B$42/12,0)</f>
        <v>-0</v>
      </c>
      <c r="AM29" s="22" t="n">
        <f aca="false">-IF(AND(AM$3&gt;Supuestos!$B$41,AM$3&lt;=Supuestos!$B$44),Supuestos!$B$40*Supuestos!$B$42/12,0)</f>
        <v>-0</v>
      </c>
      <c r="AN29" s="22" t="n">
        <f aca="false">-IF(AND(AN$3&gt;Supuestos!$B$41,AN$3&lt;=Supuestos!$B$44),Supuestos!$B$40*Supuestos!$B$42/12,0)</f>
        <v>-0</v>
      </c>
      <c r="AO29" s="22" t="n">
        <f aca="false">-IF(AND(AO$3&gt;Supuestos!$B$41,AO$3&lt;=Supuestos!$B$44),Supuestos!$B$40*Supuestos!$B$42/12,0)</f>
        <v>-0</v>
      </c>
      <c r="AP29" s="22" t="n">
        <f aca="false">-IF(AND(AP$3&gt;Supuestos!$B$41,AP$3&lt;=Supuestos!$B$44),Supuestos!$B$40*Supuestos!$B$42/12,0)</f>
        <v>-0</v>
      </c>
      <c r="AQ29" s="22" t="n">
        <f aca="false">-IF(AND(AQ$3&gt;Supuestos!$B$41,AQ$3&lt;=Supuestos!$B$44),Supuestos!$B$40*Supuestos!$B$42/12,0)</f>
        <v>-0</v>
      </c>
      <c r="AR29" s="22" t="n">
        <f aca="false">-IF(AND(AR$3&gt;Supuestos!$B$41,AR$3&lt;=Supuestos!$B$44),Supuestos!$B$40*Supuestos!$B$42/12,0)</f>
        <v>-0</v>
      </c>
      <c r="AS29" s="22" t="n">
        <f aca="false">-IF(AND(AS$3&gt;Supuestos!$B$41,AS$3&lt;=Supuestos!$B$44),Supuestos!$B$40*Supuestos!$B$42/12,0)</f>
        <v>-0</v>
      </c>
      <c r="AT29" s="22" t="n">
        <f aca="false">-IF(AND(AT$3&gt;Supuestos!$B$41,AT$3&lt;=Supuestos!$B$44),Supuestos!$B$40*Supuestos!$B$42/12,0)</f>
        <v>-0</v>
      </c>
      <c r="AU29" s="22" t="n">
        <f aca="false">-IF(AND(AU$3&gt;Supuestos!$B$41,AU$3&lt;=Supuestos!$B$44),Supuestos!$B$40*Supuestos!$B$42/12,0)</f>
        <v>-0</v>
      </c>
      <c r="AV29" s="22" t="n">
        <f aca="false">-IF(AND(AV$3&gt;Supuestos!$B$41,AV$3&lt;=Supuestos!$B$44),Supuestos!$B$40*Supuestos!$B$42/12,0)</f>
        <v>-0</v>
      </c>
      <c r="AW29" s="22" t="n">
        <f aca="false">-IF(AND(AW$3&gt;Supuestos!$B$41,AW$3&lt;=Supuestos!$B$44),Supuestos!$B$40*Supuestos!$B$42/12,0)</f>
        <v>-0</v>
      </c>
      <c r="AX29" s="22" t="n">
        <f aca="false">-IF(AND(AX$3&gt;Supuestos!$B$41,AX$3&lt;=Supuestos!$B$44),Supuestos!$B$40*Supuestos!$B$42/12,0)</f>
        <v>-0</v>
      </c>
      <c r="AY29" s="22" t="n">
        <f aca="false">-IF(AND(AY$3&gt;Supuestos!$B$41,AY$3&lt;=Supuestos!$B$44),Supuestos!$B$40*Supuestos!$B$42/12,0)</f>
        <v>-0</v>
      </c>
      <c r="AZ29" s="22" t="n">
        <f aca="false">-IF(AND(AZ$3&gt;Supuestos!$B$41,AZ$3&lt;=Supuestos!$B$44),Supuestos!$B$40*Supuestos!$B$42/12,0)</f>
        <v>-0</v>
      </c>
      <c r="BA29" s="22" t="n">
        <f aca="false">-IF(AND(BA$3&gt;Supuestos!$B$41,BA$3&lt;=Supuestos!$B$44),Supuestos!$B$40*Supuestos!$B$42/12,0)</f>
        <v>-0</v>
      </c>
      <c r="BB29" s="22" t="n">
        <f aca="false">-IF(AND(BB$3&gt;Supuestos!$B$41,BB$3&lt;=Supuestos!$B$44),Supuestos!$B$40*Supuestos!$B$42/12,0)</f>
        <v>-0</v>
      </c>
      <c r="BC29" s="22" t="n">
        <f aca="false">-IF(AND(BC$3&gt;Supuestos!$B$41,BC$3&lt;=Supuestos!$B$44),Supuestos!$B$40*Supuestos!$B$42/12,0)</f>
        <v>-0</v>
      </c>
      <c r="BD29" s="22" t="n">
        <f aca="false">-IF(AND(BD$3&gt;Supuestos!$B$41,BD$3&lt;=Supuestos!$B$44),Supuestos!$B$40*Supuestos!$B$42/12,0)</f>
        <v>-0</v>
      </c>
      <c r="BE29" s="22" t="n">
        <f aca="false">-IF(AND(BE$3&gt;Supuestos!$B$41,BE$3&lt;=Supuestos!$B$44),Supuestos!$B$40*Supuestos!$B$42/12,0)</f>
        <v>-0</v>
      </c>
      <c r="BF29" s="22" t="n">
        <f aca="false">-IF(AND(BF$3&gt;Supuestos!$B$41,BF$3&lt;=Supuestos!$B$44),Supuestos!$B$40*Supuestos!$B$42/12,0)</f>
        <v>-0</v>
      </c>
      <c r="BG29" s="22" t="n">
        <f aca="false">-IF(AND(BG$3&gt;Supuestos!$B$41,BG$3&lt;=Supuestos!$B$44),Supuestos!$B$40*Supuestos!$B$42/12,0)</f>
        <v>-0</v>
      </c>
      <c r="BH29" s="22" t="n">
        <f aca="false">-IF(AND(BH$3&gt;Supuestos!$B$41,BH$3&lt;=Supuestos!$B$44),Supuestos!$B$40*Supuestos!$B$42/12,0)</f>
        <v>-0</v>
      </c>
      <c r="BI29" s="22" t="n">
        <f aca="false">-IF(AND(BI$3&gt;Supuestos!$B$41,BI$3&lt;=Supuestos!$B$44),Supuestos!$B$40*Supuestos!$B$42/12,0)</f>
        <v>-0</v>
      </c>
      <c r="BJ29" s="22" t="n">
        <f aca="false">-IF(AND(BJ$3&gt;Supuestos!$B$41,BJ$3&lt;=Supuestos!$B$44),Supuestos!$B$40*Supuestos!$B$42/12,0)</f>
        <v>-0</v>
      </c>
      <c r="BK29" s="22" t="n">
        <f aca="false">-IF(AND(BK$3&gt;Supuestos!$B$41,BK$3&lt;=Supuestos!$B$44),Supuestos!$B$40*Supuestos!$B$42/12,0)</f>
        <v>-0</v>
      </c>
      <c r="BL29" s="22" t="n">
        <f aca="false">-IF(AND(BL$3&gt;Supuestos!$B$41,BL$3&lt;=Supuestos!$B$44),Supuestos!$B$40*Supuestos!$B$42/12,0)</f>
        <v>-0</v>
      </c>
      <c r="BM29" s="22" t="n">
        <f aca="false">-IF(AND(BM$3&gt;Supuestos!$B$41,BM$3&lt;=Supuestos!$B$44),Supuestos!$B$40*Supuestos!$B$42/12,0)</f>
        <v>-0</v>
      </c>
      <c r="BN29" s="22" t="n">
        <f aca="false">-IF(AND(BN$3&gt;Supuestos!$B$41,BN$3&lt;=Supuestos!$B$44),Supuestos!$B$40*Supuestos!$B$42/12,0)</f>
        <v>-0</v>
      </c>
      <c r="BO29" s="22" t="n">
        <f aca="false">-IF(AND(BO$3&gt;Supuestos!$B$41,BO$3&lt;=Supuestos!$B$44),Supuestos!$B$40*Supuestos!$B$42/12,0)</f>
        <v>-0</v>
      </c>
      <c r="BP29" s="22" t="n">
        <f aca="false">-IF(AND(BP$3&gt;Supuestos!$B$41,BP$3&lt;=Supuestos!$B$44),Supuestos!$B$40*Supuestos!$B$42/12,0)</f>
        <v>-0</v>
      </c>
      <c r="BQ29" s="22" t="n">
        <f aca="false">-IF(AND(BQ$3&gt;Supuestos!$B$41,BQ$3&lt;=Supuestos!$B$44),Supuestos!$B$40*Supuestos!$B$42/12,0)</f>
        <v>-0</v>
      </c>
      <c r="BR29" s="22" t="n">
        <f aca="false">-IF(AND(BR$3&gt;Supuestos!$B$41,BR$3&lt;=Supuestos!$B$44),Supuestos!$B$40*Supuestos!$B$42/12,0)</f>
        <v>-0</v>
      </c>
      <c r="BS29" s="22" t="n">
        <f aca="false">-IF(AND(BS$3&gt;Supuestos!$B$41,BS$3&lt;=Supuestos!$B$44),Supuestos!$B$40*Supuestos!$B$42/12,0)</f>
        <v>-0</v>
      </c>
      <c r="BT29" s="22" t="n">
        <f aca="false">-IF(AND(BT$3&gt;Supuestos!$B$41,BT$3&lt;=Supuestos!$B$44),Supuestos!$B$40*Supuestos!$B$42/12,0)</f>
        <v>-0</v>
      </c>
      <c r="BU29" s="22" t="n">
        <f aca="false">-IF(AND(BU$3&gt;Supuestos!$B$41,BU$3&lt;=Supuestos!$B$44),Supuestos!$B$40*Supuestos!$B$42/12,0)</f>
        <v>-0</v>
      </c>
      <c r="BV29" s="22" t="n">
        <f aca="false">-IF(AND(BV$3&gt;Supuestos!$B$41,BV$3&lt;=Supuestos!$B$44),Supuestos!$B$40*Supuestos!$B$42/12,0)</f>
        <v>-0</v>
      </c>
      <c r="BW29" s="22" t="n">
        <f aca="false">-IF(AND(BW$3&gt;Supuestos!$B$41,BW$3&lt;=Supuestos!$B$44),Supuestos!$B$40*Supuestos!$B$42/12,0)</f>
        <v>-0</v>
      </c>
      <c r="BX29" s="22" t="n">
        <f aca="false">-IF(AND(BX$3&gt;Supuestos!$B$41,BX$3&lt;=Supuestos!$B$44),Supuestos!$B$40*Supuestos!$B$42/12,0)</f>
        <v>-0</v>
      </c>
      <c r="BY29" s="22" t="n">
        <f aca="false">-IF(AND(BY$3&gt;Supuestos!$B$41,BY$3&lt;=Supuestos!$B$44),Supuestos!$B$40*Supuestos!$B$42/12,0)</f>
        <v>-0</v>
      </c>
      <c r="BZ29" s="22" t="n">
        <f aca="false">-IF(AND(BZ$3&gt;Supuestos!$B$41,BZ$3&lt;=Supuestos!$B$44),Supuestos!$B$40*Supuestos!$B$42/12,0)</f>
        <v>-0</v>
      </c>
      <c r="CA29" s="22" t="n">
        <f aca="false">-IF(AND(CA$3&gt;Supuestos!$B$41,CA$3&lt;=Supuestos!$B$44),Supuestos!$B$40*Supuestos!$B$42/12,0)</f>
        <v>-0</v>
      </c>
      <c r="CB29" s="22" t="n">
        <f aca="false">-IF(AND(CB$3&gt;Supuestos!$B$41,CB$3&lt;=Supuestos!$B$44),Supuestos!$B$40*Supuestos!$B$42/12,0)</f>
        <v>-0</v>
      </c>
      <c r="CC29" s="22" t="n">
        <f aca="false">-IF(AND(CC$3&gt;Supuestos!$B$41,CC$3&lt;=Supuestos!$B$44),Supuestos!$B$40*Supuestos!$B$42/12,0)</f>
        <v>-0</v>
      </c>
      <c r="CD29" s="22" t="n">
        <f aca="false">-IF(AND(CD$3&gt;Supuestos!$B$41,CD$3&lt;=Supuestos!$B$44),Supuestos!$B$40*Supuestos!$B$42/12,0)</f>
        <v>-0</v>
      </c>
      <c r="CE29" s="22" t="n">
        <f aca="false">-IF(AND(CE$3&gt;Supuestos!$B$41,CE$3&lt;=Supuestos!$B$44),Supuestos!$B$40*Supuestos!$B$42/12,0)</f>
        <v>-0</v>
      </c>
      <c r="CF29" s="22" t="n">
        <f aca="false">-IF(AND(CF$3&gt;Supuestos!$B$41,CF$3&lt;=Supuestos!$B$44),Supuestos!$B$40*Supuestos!$B$42/12,0)</f>
        <v>-0</v>
      </c>
      <c r="CG29" s="22" t="n">
        <f aca="false">-IF(AND(CG$3&gt;Supuestos!$B$41,CG$3&lt;=Supuestos!$B$44),Supuestos!$B$40*Supuestos!$B$42/12,0)</f>
        <v>-0</v>
      </c>
      <c r="CH29" s="22" t="n">
        <f aca="false">-IF(AND(CH$3&gt;Supuestos!$B$41,CH$3&lt;=Supuestos!$B$44),Supuestos!$B$40*Supuestos!$B$42/12,0)</f>
        <v>-0</v>
      </c>
    </row>
    <row r="30" customFormat="false" ht="15" hidden="false" customHeight="false" outlineLevel="0" collapsed="false">
      <c r="A30" s="6" t="s">
        <v>173</v>
      </c>
      <c r="B30" s="9" t="n">
        <f aca="false">SUM(C30:CH30)</f>
        <v>-2000000</v>
      </c>
      <c r="C30" s="22" t="n">
        <f aca="false">-IF(C$3=Supuestos!$B$44,Supuestos!$B$40,0)</f>
        <v>-0</v>
      </c>
      <c r="D30" s="22" t="n">
        <f aca="false">-IF(D$3=Supuestos!$B$44,Supuestos!$B$40,0)</f>
        <v>-0</v>
      </c>
      <c r="E30" s="22" t="n">
        <f aca="false">-IF(E$3=Supuestos!$B$44,Supuestos!$B$40,0)</f>
        <v>-0</v>
      </c>
      <c r="F30" s="22" t="n">
        <f aca="false">-IF(F$3=Supuestos!$B$44,Supuestos!$B$40,0)</f>
        <v>-0</v>
      </c>
      <c r="G30" s="22" t="n">
        <f aca="false">-IF(G$3=Supuestos!$B$44,Supuestos!$B$40,0)</f>
        <v>-0</v>
      </c>
      <c r="H30" s="22" t="n">
        <f aca="false">-IF(H$3=Supuestos!$B$44,Supuestos!$B$40,0)</f>
        <v>-0</v>
      </c>
      <c r="I30" s="22" t="n">
        <f aca="false">-IF(I$3=Supuestos!$B$44,Supuestos!$B$40,0)</f>
        <v>-0</v>
      </c>
      <c r="J30" s="22" t="n">
        <f aca="false">-IF(J$3=Supuestos!$B$44,Supuestos!$B$40,0)</f>
        <v>-0</v>
      </c>
      <c r="K30" s="22" t="n">
        <f aca="false">-IF(K$3=Supuestos!$B$44,Supuestos!$B$40,0)</f>
        <v>-0</v>
      </c>
      <c r="L30" s="22" t="n">
        <f aca="false">-IF(L$3=Supuestos!$B$44,Supuestos!$B$40,0)</f>
        <v>-0</v>
      </c>
      <c r="M30" s="22" t="n">
        <f aca="false">-IF(M$3=Supuestos!$B$44,Supuestos!$B$40,0)</f>
        <v>-0</v>
      </c>
      <c r="N30" s="22" t="n">
        <f aca="false">-IF(N$3=Supuestos!$B$44,Supuestos!$B$40,0)</f>
        <v>-0</v>
      </c>
      <c r="O30" s="22" t="n">
        <f aca="false">-IF(O$3=Supuestos!$B$44,Supuestos!$B$40,0)</f>
        <v>-0</v>
      </c>
      <c r="P30" s="22" t="n">
        <f aca="false">-IF(P$3=Supuestos!$B$44,Supuestos!$B$40,0)</f>
        <v>-0</v>
      </c>
      <c r="Q30" s="22" t="n">
        <f aca="false">-IF(Q$3=Supuestos!$B$44,Supuestos!$B$40,0)</f>
        <v>-0</v>
      </c>
      <c r="R30" s="22" t="n">
        <f aca="false">-IF(R$3=Supuestos!$B$44,Supuestos!$B$40,0)</f>
        <v>-0</v>
      </c>
      <c r="S30" s="22" t="n">
        <f aca="false">-IF(S$3=Supuestos!$B$44,Supuestos!$B$40,0)</f>
        <v>-0</v>
      </c>
      <c r="T30" s="22" t="n">
        <f aca="false">-IF(T$3=Supuestos!$B$44,Supuestos!$B$40,0)</f>
        <v>-2000000</v>
      </c>
      <c r="U30" s="22" t="n">
        <f aca="false">-IF(U$3=Supuestos!$B$44,Supuestos!$B$40,0)</f>
        <v>-0</v>
      </c>
      <c r="V30" s="22" t="n">
        <f aca="false">-IF(V$3=Supuestos!$B$44,Supuestos!$B$40,0)</f>
        <v>-0</v>
      </c>
      <c r="W30" s="22" t="n">
        <f aca="false">-IF(W$3=Supuestos!$B$44,Supuestos!$B$40,0)</f>
        <v>-0</v>
      </c>
      <c r="X30" s="22" t="n">
        <f aca="false">-IF(X$3=Supuestos!$B$44,Supuestos!$B$40,0)</f>
        <v>-0</v>
      </c>
      <c r="Y30" s="22" t="n">
        <f aca="false">-IF(Y$3=Supuestos!$B$44,Supuestos!$B$40,0)</f>
        <v>-0</v>
      </c>
      <c r="Z30" s="22" t="n">
        <f aca="false">-IF(Z$3=Supuestos!$B$44,Supuestos!$B$40,0)</f>
        <v>-0</v>
      </c>
      <c r="AA30" s="22" t="n">
        <f aca="false">-IF(AA$3=Supuestos!$B$44,Supuestos!$B$40,0)</f>
        <v>-0</v>
      </c>
      <c r="AB30" s="22" t="n">
        <f aca="false">-IF(AB$3=Supuestos!$B$44,Supuestos!$B$40,0)</f>
        <v>-0</v>
      </c>
      <c r="AC30" s="22" t="n">
        <f aca="false">-IF(AC$3=Supuestos!$B$44,Supuestos!$B$40,0)</f>
        <v>-0</v>
      </c>
      <c r="AD30" s="22" t="n">
        <f aca="false">-IF(AD$3=Supuestos!$B$44,Supuestos!$B$40,0)</f>
        <v>-0</v>
      </c>
      <c r="AE30" s="22" t="n">
        <f aca="false">-IF(AE$3=Supuestos!$B$44,Supuestos!$B$40,0)</f>
        <v>-0</v>
      </c>
      <c r="AF30" s="22" t="n">
        <f aca="false">-IF(AF$3=Supuestos!$B$44,Supuestos!$B$40,0)</f>
        <v>-0</v>
      </c>
      <c r="AG30" s="22" t="n">
        <f aca="false">-IF(AG$3=Supuestos!$B$44,Supuestos!$B$40,0)</f>
        <v>-0</v>
      </c>
      <c r="AH30" s="22" t="n">
        <f aca="false">-IF(AH$3=Supuestos!$B$44,Supuestos!$B$40,0)</f>
        <v>-0</v>
      </c>
      <c r="AI30" s="22" t="n">
        <f aca="false">-IF(AI$3=Supuestos!$B$44,Supuestos!$B$40,0)</f>
        <v>-0</v>
      </c>
      <c r="AJ30" s="22" t="n">
        <f aca="false">-IF(AJ$3=Supuestos!$B$44,Supuestos!$B$40,0)</f>
        <v>-0</v>
      </c>
      <c r="AK30" s="22" t="n">
        <f aca="false">-IF(AK$3=Supuestos!$B$44,Supuestos!$B$40,0)</f>
        <v>-0</v>
      </c>
      <c r="AL30" s="22" t="n">
        <f aca="false">-IF(AL$3=Supuestos!$B$44,Supuestos!$B$40,0)</f>
        <v>-0</v>
      </c>
      <c r="AM30" s="22" t="n">
        <f aca="false">-IF(AM$3=Supuestos!$B$44,Supuestos!$B$40,0)</f>
        <v>-0</v>
      </c>
      <c r="AN30" s="22" t="n">
        <f aca="false">-IF(AN$3=Supuestos!$B$44,Supuestos!$B$40,0)</f>
        <v>-0</v>
      </c>
      <c r="AO30" s="22" t="n">
        <f aca="false">-IF(AO$3=Supuestos!$B$44,Supuestos!$B$40,0)</f>
        <v>-0</v>
      </c>
      <c r="AP30" s="22" t="n">
        <f aca="false">-IF(AP$3=Supuestos!$B$44,Supuestos!$B$40,0)</f>
        <v>-0</v>
      </c>
      <c r="AQ30" s="22" t="n">
        <f aca="false">-IF(AQ$3=Supuestos!$B$44,Supuestos!$B$40,0)</f>
        <v>-0</v>
      </c>
      <c r="AR30" s="22" t="n">
        <f aca="false">-IF(AR$3=Supuestos!$B$44,Supuestos!$B$40,0)</f>
        <v>-0</v>
      </c>
      <c r="AS30" s="22" t="n">
        <f aca="false">-IF(AS$3=Supuestos!$B$44,Supuestos!$B$40,0)</f>
        <v>-0</v>
      </c>
      <c r="AT30" s="22" t="n">
        <f aca="false">-IF(AT$3=Supuestos!$B$44,Supuestos!$B$40,0)</f>
        <v>-0</v>
      </c>
      <c r="AU30" s="22" t="n">
        <f aca="false">-IF(AU$3=Supuestos!$B$44,Supuestos!$B$40,0)</f>
        <v>-0</v>
      </c>
      <c r="AV30" s="22" t="n">
        <f aca="false">-IF(AV$3=Supuestos!$B$44,Supuestos!$B$40,0)</f>
        <v>-0</v>
      </c>
      <c r="AW30" s="22" t="n">
        <f aca="false">-IF(AW$3=Supuestos!$B$44,Supuestos!$B$40,0)</f>
        <v>-0</v>
      </c>
      <c r="AX30" s="22" t="n">
        <f aca="false">-IF(AX$3=Supuestos!$B$44,Supuestos!$B$40,0)</f>
        <v>-0</v>
      </c>
      <c r="AY30" s="22" t="n">
        <f aca="false">-IF(AY$3=Supuestos!$B$44,Supuestos!$B$40,0)</f>
        <v>-0</v>
      </c>
      <c r="AZ30" s="22" t="n">
        <f aca="false">-IF(AZ$3=Supuestos!$B$44,Supuestos!$B$40,0)</f>
        <v>-0</v>
      </c>
      <c r="BA30" s="22" t="n">
        <f aca="false">-IF(BA$3=Supuestos!$B$44,Supuestos!$B$40,0)</f>
        <v>-0</v>
      </c>
      <c r="BB30" s="22" t="n">
        <f aca="false">-IF(BB$3=Supuestos!$B$44,Supuestos!$B$40,0)</f>
        <v>-0</v>
      </c>
      <c r="BC30" s="22" t="n">
        <f aca="false">-IF(BC$3=Supuestos!$B$44,Supuestos!$B$40,0)</f>
        <v>-0</v>
      </c>
      <c r="BD30" s="22" t="n">
        <f aca="false">-IF(BD$3=Supuestos!$B$44,Supuestos!$B$40,0)</f>
        <v>-0</v>
      </c>
      <c r="BE30" s="22" t="n">
        <f aca="false">-IF(BE$3=Supuestos!$B$44,Supuestos!$B$40,0)</f>
        <v>-0</v>
      </c>
      <c r="BF30" s="22" t="n">
        <f aca="false">-IF(BF$3=Supuestos!$B$44,Supuestos!$B$40,0)</f>
        <v>-0</v>
      </c>
      <c r="BG30" s="22" t="n">
        <f aca="false">-IF(BG$3=Supuestos!$B$44,Supuestos!$B$40,0)</f>
        <v>-0</v>
      </c>
      <c r="BH30" s="22" t="n">
        <f aca="false">-IF(BH$3=Supuestos!$B$44,Supuestos!$B$40,0)</f>
        <v>-0</v>
      </c>
      <c r="BI30" s="22" t="n">
        <f aca="false">-IF(BI$3=Supuestos!$B$44,Supuestos!$B$40,0)</f>
        <v>-0</v>
      </c>
      <c r="BJ30" s="22" t="n">
        <f aca="false">-IF(BJ$3=Supuestos!$B$44,Supuestos!$B$40,0)</f>
        <v>-0</v>
      </c>
      <c r="BK30" s="22" t="n">
        <f aca="false">-IF(BK$3=Supuestos!$B$44,Supuestos!$B$40,0)</f>
        <v>-0</v>
      </c>
      <c r="BL30" s="22" t="n">
        <f aca="false">-IF(BL$3=Supuestos!$B$44,Supuestos!$B$40,0)</f>
        <v>-0</v>
      </c>
      <c r="BM30" s="22" t="n">
        <f aca="false">-IF(BM$3=Supuestos!$B$44,Supuestos!$B$40,0)</f>
        <v>-0</v>
      </c>
      <c r="BN30" s="22" t="n">
        <f aca="false">-IF(BN$3=Supuestos!$B$44,Supuestos!$B$40,0)</f>
        <v>-0</v>
      </c>
      <c r="BO30" s="22" t="n">
        <f aca="false">-IF(BO$3=Supuestos!$B$44,Supuestos!$B$40,0)</f>
        <v>-0</v>
      </c>
      <c r="BP30" s="22" t="n">
        <f aca="false">-IF(BP$3=Supuestos!$B$44,Supuestos!$B$40,0)</f>
        <v>-0</v>
      </c>
      <c r="BQ30" s="22" t="n">
        <f aca="false">-IF(BQ$3=Supuestos!$B$44,Supuestos!$B$40,0)</f>
        <v>-0</v>
      </c>
      <c r="BR30" s="22" t="n">
        <f aca="false">-IF(BR$3=Supuestos!$B$44,Supuestos!$B$40,0)</f>
        <v>-0</v>
      </c>
      <c r="BS30" s="22" t="n">
        <f aca="false">-IF(BS$3=Supuestos!$B$44,Supuestos!$B$40,0)</f>
        <v>-0</v>
      </c>
      <c r="BT30" s="22" t="n">
        <f aca="false">-IF(BT$3=Supuestos!$B$44,Supuestos!$B$40,0)</f>
        <v>-0</v>
      </c>
      <c r="BU30" s="22" t="n">
        <f aca="false">-IF(BU$3=Supuestos!$B$44,Supuestos!$B$40,0)</f>
        <v>-0</v>
      </c>
      <c r="BV30" s="22" t="n">
        <f aca="false">-IF(BV$3=Supuestos!$B$44,Supuestos!$B$40,0)</f>
        <v>-0</v>
      </c>
      <c r="BW30" s="22" t="n">
        <f aca="false">-IF(BW$3=Supuestos!$B$44,Supuestos!$B$40,0)</f>
        <v>-0</v>
      </c>
      <c r="BX30" s="22" t="n">
        <f aca="false">-IF(BX$3=Supuestos!$B$44,Supuestos!$B$40,0)</f>
        <v>-0</v>
      </c>
      <c r="BY30" s="22" t="n">
        <f aca="false">-IF(BY$3=Supuestos!$B$44,Supuestos!$B$40,0)</f>
        <v>-0</v>
      </c>
      <c r="BZ30" s="22" t="n">
        <f aca="false">-IF(BZ$3=Supuestos!$B$44,Supuestos!$B$40,0)</f>
        <v>-0</v>
      </c>
      <c r="CA30" s="22" t="n">
        <f aca="false">-IF(CA$3=Supuestos!$B$44,Supuestos!$B$40,0)</f>
        <v>-0</v>
      </c>
      <c r="CB30" s="22" t="n">
        <f aca="false">-IF(CB$3=Supuestos!$B$44,Supuestos!$B$40,0)</f>
        <v>-0</v>
      </c>
      <c r="CC30" s="22" t="n">
        <f aca="false">-IF(CC$3=Supuestos!$B$44,Supuestos!$B$40,0)</f>
        <v>-0</v>
      </c>
      <c r="CD30" s="22" t="n">
        <f aca="false">-IF(CD$3=Supuestos!$B$44,Supuestos!$B$40,0)</f>
        <v>-0</v>
      </c>
      <c r="CE30" s="22" t="n">
        <f aca="false">-IF(CE$3=Supuestos!$B$44,Supuestos!$B$40,0)</f>
        <v>-0</v>
      </c>
      <c r="CF30" s="22" t="n">
        <f aca="false">-IF(CF$3=Supuestos!$B$44,Supuestos!$B$40,0)</f>
        <v>-0</v>
      </c>
      <c r="CG30" s="22" t="n">
        <f aca="false">-IF(CG$3=Supuestos!$B$44,Supuestos!$B$40,0)</f>
        <v>-0</v>
      </c>
      <c r="CH30" s="22" t="n">
        <f aca="false">-IF(CH$3=Supuestos!$B$44,Supuestos!$B$40,0)</f>
        <v>-0</v>
      </c>
    </row>
    <row r="31" customFormat="false" ht="15" hidden="false" customHeight="false" outlineLevel="0" collapsed="false">
      <c r="A31" s="6" t="s">
        <v>174</v>
      </c>
      <c r="B31" s="2"/>
      <c r="C31" s="22" t="n">
        <f aca="false">IF(AND(C$3&gt;=Supuestos!$B$41,C$3&lt;Supuestos!$B$44),Supuestos!$B$40,0)</f>
        <v>0</v>
      </c>
      <c r="D31" s="22" t="n">
        <f aca="false">IF(AND(D$3&gt;=Supuestos!$B$41,D$3&lt;Supuestos!$B$44),Supuestos!$B$40,0)</f>
        <v>0</v>
      </c>
      <c r="E31" s="22" t="n">
        <f aca="false">IF(AND(E$3&gt;=Supuestos!$B$41,E$3&lt;Supuestos!$B$44),Supuestos!$B$40,0)</f>
        <v>0</v>
      </c>
      <c r="F31" s="22" t="n">
        <f aca="false">IF(AND(F$3&gt;=Supuestos!$B$41,F$3&lt;Supuestos!$B$44),Supuestos!$B$40,0)</f>
        <v>0</v>
      </c>
      <c r="G31" s="22" t="n">
        <f aca="false">IF(AND(G$3&gt;=Supuestos!$B$41,G$3&lt;Supuestos!$B$44),Supuestos!$B$40,0)</f>
        <v>0</v>
      </c>
      <c r="H31" s="22" t="n">
        <f aca="false">IF(AND(H$3&gt;=Supuestos!$B$41,H$3&lt;Supuestos!$B$44),Supuestos!$B$40,0)</f>
        <v>2000000</v>
      </c>
      <c r="I31" s="22" t="n">
        <f aca="false">IF(AND(I$3&gt;=Supuestos!$B$41,I$3&lt;Supuestos!$B$44),Supuestos!$B$40,0)</f>
        <v>2000000</v>
      </c>
      <c r="J31" s="22" t="n">
        <f aca="false">IF(AND(J$3&gt;=Supuestos!$B$41,J$3&lt;Supuestos!$B$44),Supuestos!$B$40,0)</f>
        <v>2000000</v>
      </c>
      <c r="K31" s="22" t="n">
        <f aca="false">IF(AND(K$3&gt;=Supuestos!$B$41,K$3&lt;Supuestos!$B$44),Supuestos!$B$40,0)</f>
        <v>2000000</v>
      </c>
      <c r="L31" s="22" t="n">
        <f aca="false">IF(AND(L$3&gt;=Supuestos!$B$41,L$3&lt;Supuestos!$B$44),Supuestos!$B$40,0)</f>
        <v>2000000</v>
      </c>
      <c r="M31" s="22" t="n">
        <f aca="false">IF(AND(M$3&gt;=Supuestos!$B$41,M$3&lt;Supuestos!$B$44),Supuestos!$B$40,0)</f>
        <v>2000000</v>
      </c>
      <c r="N31" s="22" t="n">
        <f aca="false">IF(AND(N$3&gt;=Supuestos!$B$41,N$3&lt;Supuestos!$B$44),Supuestos!$B$40,0)</f>
        <v>2000000</v>
      </c>
      <c r="O31" s="22" t="n">
        <f aca="false">IF(AND(O$3&gt;=Supuestos!$B$41,O$3&lt;Supuestos!$B$44),Supuestos!$B$40,0)</f>
        <v>2000000</v>
      </c>
      <c r="P31" s="22" t="n">
        <f aca="false">IF(AND(P$3&gt;=Supuestos!$B$41,P$3&lt;Supuestos!$B$44),Supuestos!$B$40,0)</f>
        <v>2000000</v>
      </c>
      <c r="Q31" s="22" t="n">
        <f aca="false">IF(AND(Q$3&gt;=Supuestos!$B$41,Q$3&lt;Supuestos!$B$44),Supuestos!$B$40,0)</f>
        <v>2000000</v>
      </c>
      <c r="R31" s="22" t="n">
        <f aca="false">IF(AND(R$3&gt;=Supuestos!$B$41,R$3&lt;Supuestos!$B$44),Supuestos!$B$40,0)</f>
        <v>2000000</v>
      </c>
      <c r="S31" s="22" t="n">
        <f aca="false">IF(AND(S$3&gt;=Supuestos!$B$41,S$3&lt;Supuestos!$B$44),Supuestos!$B$40,0)</f>
        <v>2000000</v>
      </c>
      <c r="T31" s="22" t="n">
        <f aca="false">IF(AND(T$3&gt;=Supuestos!$B$41,T$3&lt;Supuestos!$B$44),Supuestos!$B$40,0)</f>
        <v>0</v>
      </c>
      <c r="U31" s="22" t="n">
        <f aca="false">IF(AND(U$3&gt;=Supuestos!$B$41,U$3&lt;Supuestos!$B$44),Supuestos!$B$40,0)</f>
        <v>0</v>
      </c>
      <c r="V31" s="22" t="n">
        <f aca="false">IF(AND(V$3&gt;=Supuestos!$B$41,V$3&lt;Supuestos!$B$44),Supuestos!$B$40,0)</f>
        <v>0</v>
      </c>
      <c r="W31" s="22" t="n">
        <f aca="false">IF(AND(W$3&gt;=Supuestos!$B$41,W$3&lt;Supuestos!$B$44),Supuestos!$B$40,0)</f>
        <v>0</v>
      </c>
      <c r="X31" s="22" t="n">
        <f aca="false">IF(AND(X$3&gt;=Supuestos!$B$41,X$3&lt;Supuestos!$B$44),Supuestos!$B$40,0)</f>
        <v>0</v>
      </c>
      <c r="Y31" s="22" t="n">
        <f aca="false">IF(AND(Y$3&gt;=Supuestos!$B$41,Y$3&lt;Supuestos!$B$44),Supuestos!$B$40,0)</f>
        <v>0</v>
      </c>
      <c r="Z31" s="22" t="n">
        <f aca="false">IF(AND(Z$3&gt;=Supuestos!$B$41,Z$3&lt;Supuestos!$B$44),Supuestos!$B$40,0)</f>
        <v>0</v>
      </c>
      <c r="AA31" s="22" t="n">
        <f aca="false">IF(AND(AA$3&gt;=Supuestos!$B$41,AA$3&lt;Supuestos!$B$44),Supuestos!$B$40,0)</f>
        <v>0</v>
      </c>
      <c r="AB31" s="22" t="n">
        <f aca="false">IF(AND(AB$3&gt;=Supuestos!$B$41,AB$3&lt;Supuestos!$B$44),Supuestos!$B$40,0)</f>
        <v>0</v>
      </c>
      <c r="AC31" s="22" t="n">
        <f aca="false">IF(AND(AC$3&gt;=Supuestos!$B$41,AC$3&lt;Supuestos!$B$44),Supuestos!$B$40,0)</f>
        <v>0</v>
      </c>
      <c r="AD31" s="22" t="n">
        <f aca="false">IF(AND(AD$3&gt;=Supuestos!$B$41,AD$3&lt;Supuestos!$B$44),Supuestos!$B$40,0)</f>
        <v>0</v>
      </c>
      <c r="AE31" s="22" t="n">
        <f aca="false">IF(AND(AE$3&gt;=Supuestos!$B$41,AE$3&lt;Supuestos!$B$44),Supuestos!$B$40,0)</f>
        <v>0</v>
      </c>
      <c r="AF31" s="22" t="n">
        <f aca="false">IF(AND(AF$3&gt;=Supuestos!$B$41,AF$3&lt;Supuestos!$B$44),Supuestos!$B$40,0)</f>
        <v>0</v>
      </c>
      <c r="AG31" s="22" t="n">
        <f aca="false">IF(AND(AG$3&gt;=Supuestos!$B$41,AG$3&lt;Supuestos!$B$44),Supuestos!$B$40,0)</f>
        <v>0</v>
      </c>
      <c r="AH31" s="22" t="n">
        <f aca="false">IF(AND(AH$3&gt;=Supuestos!$B$41,AH$3&lt;Supuestos!$B$44),Supuestos!$B$40,0)</f>
        <v>0</v>
      </c>
      <c r="AI31" s="22" t="n">
        <f aca="false">IF(AND(AI$3&gt;=Supuestos!$B$41,AI$3&lt;Supuestos!$B$44),Supuestos!$B$40,0)</f>
        <v>0</v>
      </c>
      <c r="AJ31" s="22" t="n">
        <f aca="false">IF(AND(AJ$3&gt;=Supuestos!$B$41,AJ$3&lt;Supuestos!$B$44),Supuestos!$B$40,0)</f>
        <v>0</v>
      </c>
      <c r="AK31" s="22" t="n">
        <f aca="false">IF(AND(AK$3&gt;=Supuestos!$B$41,AK$3&lt;Supuestos!$B$44),Supuestos!$B$40,0)</f>
        <v>0</v>
      </c>
      <c r="AL31" s="22" t="n">
        <f aca="false">IF(AND(AL$3&gt;=Supuestos!$B$41,AL$3&lt;Supuestos!$B$44),Supuestos!$B$40,0)</f>
        <v>0</v>
      </c>
      <c r="AM31" s="22" t="n">
        <f aca="false">IF(AND(AM$3&gt;=Supuestos!$B$41,AM$3&lt;Supuestos!$B$44),Supuestos!$B$40,0)</f>
        <v>0</v>
      </c>
      <c r="AN31" s="22" t="n">
        <f aca="false">IF(AND(AN$3&gt;=Supuestos!$B$41,AN$3&lt;Supuestos!$B$44),Supuestos!$B$40,0)</f>
        <v>0</v>
      </c>
      <c r="AO31" s="22" t="n">
        <f aca="false">IF(AND(AO$3&gt;=Supuestos!$B$41,AO$3&lt;Supuestos!$B$44),Supuestos!$B$40,0)</f>
        <v>0</v>
      </c>
      <c r="AP31" s="22" t="n">
        <f aca="false">IF(AND(AP$3&gt;=Supuestos!$B$41,AP$3&lt;Supuestos!$B$44),Supuestos!$B$40,0)</f>
        <v>0</v>
      </c>
      <c r="AQ31" s="22" t="n">
        <f aca="false">IF(AND(AQ$3&gt;=Supuestos!$B$41,AQ$3&lt;Supuestos!$B$44),Supuestos!$B$40,0)</f>
        <v>0</v>
      </c>
      <c r="AR31" s="22" t="n">
        <f aca="false">IF(AND(AR$3&gt;=Supuestos!$B$41,AR$3&lt;Supuestos!$B$44),Supuestos!$B$40,0)</f>
        <v>0</v>
      </c>
      <c r="AS31" s="22" t="n">
        <f aca="false">IF(AND(AS$3&gt;=Supuestos!$B$41,AS$3&lt;Supuestos!$B$44),Supuestos!$B$40,0)</f>
        <v>0</v>
      </c>
      <c r="AT31" s="22" t="n">
        <f aca="false">IF(AND(AT$3&gt;=Supuestos!$B$41,AT$3&lt;Supuestos!$B$44),Supuestos!$B$40,0)</f>
        <v>0</v>
      </c>
      <c r="AU31" s="22" t="n">
        <f aca="false">IF(AND(AU$3&gt;=Supuestos!$B$41,AU$3&lt;Supuestos!$B$44),Supuestos!$B$40,0)</f>
        <v>0</v>
      </c>
      <c r="AV31" s="22" t="n">
        <f aca="false">IF(AND(AV$3&gt;=Supuestos!$B$41,AV$3&lt;Supuestos!$B$44),Supuestos!$B$40,0)</f>
        <v>0</v>
      </c>
      <c r="AW31" s="22" t="n">
        <f aca="false">IF(AND(AW$3&gt;=Supuestos!$B$41,AW$3&lt;Supuestos!$B$44),Supuestos!$B$40,0)</f>
        <v>0</v>
      </c>
      <c r="AX31" s="22" t="n">
        <f aca="false">IF(AND(AX$3&gt;=Supuestos!$B$41,AX$3&lt;Supuestos!$B$44),Supuestos!$B$40,0)</f>
        <v>0</v>
      </c>
      <c r="AY31" s="22" t="n">
        <f aca="false">IF(AND(AY$3&gt;=Supuestos!$B$41,AY$3&lt;Supuestos!$B$44),Supuestos!$B$40,0)</f>
        <v>0</v>
      </c>
      <c r="AZ31" s="22" t="n">
        <f aca="false">IF(AND(AZ$3&gt;=Supuestos!$B$41,AZ$3&lt;Supuestos!$B$44),Supuestos!$B$40,0)</f>
        <v>0</v>
      </c>
      <c r="BA31" s="22" t="n">
        <f aca="false">IF(AND(BA$3&gt;=Supuestos!$B$41,BA$3&lt;Supuestos!$B$44),Supuestos!$B$40,0)</f>
        <v>0</v>
      </c>
      <c r="BB31" s="22" t="n">
        <f aca="false">IF(AND(BB$3&gt;=Supuestos!$B$41,BB$3&lt;Supuestos!$B$44),Supuestos!$B$40,0)</f>
        <v>0</v>
      </c>
      <c r="BC31" s="22" t="n">
        <f aca="false">IF(AND(BC$3&gt;=Supuestos!$B$41,BC$3&lt;Supuestos!$B$44),Supuestos!$B$40,0)</f>
        <v>0</v>
      </c>
      <c r="BD31" s="22" t="n">
        <f aca="false">IF(AND(BD$3&gt;=Supuestos!$B$41,BD$3&lt;Supuestos!$B$44),Supuestos!$B$40,0)</f>
        <v>0</v>
      </c>
      <c r="BE31" s="22" t="n">
        <f aca="false">IF(AND(BE$3&gt;=Supuestos!$B$41,BE$3&lt;Supuestos!$B$44),Supuestos!$B$40,0)</f>
        <v>0</v>
      </c>
      <c r="BF31" s="22" t="n">
        <f aca="false">IF(AND(BF$3&gt;=Supuestos!$B$41,BF$3&lt;Supuestos!$B$44),Supuestos!$B$40,0)</f>
        <v>0</v>
      </c>
      <c r="BG31" s="22" t="n">
        <f aca="false">IF(AND(BG$3&gt;=Supuestos!$B$41,BG$3&lt;Supuestos!$B$44),Supuestos!$B$40,0)</f>
        <v>0</v>
      </c>
      <c r="BH31" s="22" t="n">
        <f aca="false">IF(AND(BH$3&gt;=Supuestos!$B$41,BH$3&lt;Supuestos!$B$44),Supuestos!$B$40,0)</f>
        <v>0</v>
      </c>
      <c r="BI31" s="22" t="n">
        <f aca="false">IF(AND(BI$3&gt;=Supuestos!$B$41,BI$3&lt;Supuestos!$B$44),Supuestos!$B$40,0)</f>
        <v>0</v>
      </c>
      <c r="BJ31" s="22" t="n">
        <f aca="false">IF(AND(BJ$3&gt;=Supuestos!$B$41,BJ$3&lt;Supuestos!$B$44),Supuestos!$B$40,0)</f>
        <v>0</v>
      </c>
      <c r="BK31" s="22" t="n">
        <f aca="false">IF(AND(BK$3&gt;=Supuestos!$B$41,BK$3&lt;Supuestos!$B$44),Supuestos!$B$40,0)</f>
        <v>0</v>
      </c>
      <c r="BL31" s="22" t="n">
        <f aca="false">IF(AND(BL$3&gt;=Supuestos!$B$41,BL$3&lt;Supuestos!$B$44),Supuestos!$B$40,0)</f>
        <v>0</v>
      </c>
      <c r="BM31" s="22" t="n">
        <f aca="false">IF(AND(BM$3&gt;=Supuestos!$B$41,BM$3&lt;Supuestos!$B$44),Supuestos!$B$40,0)</f>
        <v>0</v>
      </c>
      <c r="BN31" s="22" t="n">
        <f aca="false">IF(AND(BN$3&gt;=Supuestos!$B$41,BN$3&lt;Supuestos!$B$44),Supuestos!$B$40,0)</f>
        <v>0</v>
      </c>
      <c r="BO31" s="22" t="n">
        <f aca="false">IF(AND(BO$3&gt;=Supuestos!$B$41,BO$3&lt;Supuestos!$B$44),Supuestos!$B$40,0)</f>
        <v>0</v>
      </c>
      <c r="BP31" s="22" t="n">
        <f aca="false">IF(AND(BP$3&gt;=Supuestos!$B$41,BP$3&lt;Supuestos!$B$44),Supuestos!$B$40,0)</f>
        <v>0</v>
      </c>
      <c r="BQ31" s="22" t="n">
        <f aca="false">IF(AND(BQ$3&gt;=Supuestos!$B$41,BQ$3&lt;Supuestos!$B$44),Supuestos!$B$40,0)</f>
        <v>0</v>
      </c>
      <c r="BR31" s="22" t="n">
        <f aca="false">IF(AND(BR$3&gt;=Supuestos!$B$41,BR$3&lt;Supuestos!$B$44),Supuestos!$B$40,0)</f>
        <v>0</v>
      </c>
      <c r="BS31" s="22" t="n">
        <f aca="false">IF(AND(BS$3&gt;=Supuestos!$B$41,BS$3&lt;Supuestos!$B$44),Supuestos!$B$40,0)</f>
        <v>0</v>
      </c>
      <c r="BT31" s="22" t="n">
        <f aca="false">IF(AND(BT$3&gt;=Supuestos!$B$41,BT$3&lt;Supuestos!$B$44),Supuestos!$B$40,0)</f>
        <v>0</v>
      </c>
      <c r="BU31" s="22" t="n">
        <f aca="false">IF(AND(BU$3&gt;=Supuestos!$B$41,BU$3&lt;Supuestos!$B$44),Supuestos!$B$40,0)</f>
        <v>0</v>
      </c>
      <c r="BV31" s="22" t="n">
        <f aca="false">IF(AND(BV$3&gt;=Supuestos!$B$41,BV$3&lt;Supuestos!$B$44),Supuestos!$B$40,0)</f>
        <v>0</v>
      </c>
      <c r="BW31" s="22" t="n">
        <f aca="false">IF(AND(BW$3&gt;=Supuestos!$B$41,BW$3&lt;Supuestos!$B$44),Supuestos!$B$40,0)</f>
        <v>0</v>
      </c>
      <c r="BX31" s="22" t="n">
        <f aca="false">IF(AND(BX$3&gt;=Supuestos!$B$41,BX$3&lt;Supuestos!$B$44),Supuestos!$B$40,0)</f>
        <v>0</v>
      </c>
      <c r="BY31" s="22" t="n">
        <f aca="false">IF(AND(BY$3&gt;=Supuestos!$B$41,BY$3&lt;Supuestos!$B$44),Supuestos!$B$40,0)</f>
        <v>0</v>
      </c>
      <c r="BZ31" s="22" t="n">
        <f aca="false">IF(AND(BZ$3&gt;=Supuestos!$B$41,BZ$3&lt;Supuestos!$B$44),Supuestos!$B$40,0)</f>
        <v>0</v>
      </c>
      <c r="CA31" s="22" t="n">
        <f aca="false">IF(AND(CA$3&gt;=Supuestos!$B$41,CA$3&lt;Supuestos!$B$44),Supuestos!$B$40,0)</f>
        <v>0</v>
      </c>
      <c r="CB31" s="22" t="n">
        <f aca="false">IF(AND(CB$3&gt;=Supuestos!$B$41,CB$3&lt;Supuestos!$B$44),Supuestos!$B$40,0)</f>
        <v>0</v>
      </c>
      <c r="CC31" s="22" t="n">
        <f aca="false">IF(AND(CC$3&gt;=Supuestos!$B$41,CC$3&lt;Supuestos!$B$44),Supuestos!$B$40,0)</f>
        <v>0</v>
      </c>
      <c r="CD31" s="22" t="n">
        <f aca="false">IF(AND(CD$3&gt;=Supuestos!$B$41,CD$3&lt;Supuestos!$B$44),Supuestos!$B$40,0)</f>
        <v>0</v>
      </c>
      <c r="CE31" s="22" t="n">
        <f aca="false">IF(AND(CE$3&gt;=Supuestos!$B$41,CE$3&lt;Supuestos!$B$44),Supuestos!$B$40,0)</f>
        <v>0</v>
      </c>
      <c r="CF31" s="22" t="n">
        <f aca="false">IF(AND(CF$3&gt;=Supuestos!$B$41,CF$3&lt;Supuestos!$B$44),Supuestos!$B$40,0)</f>
        <v>0</v>
      </c>
      <c r="CG31" s="22" t="n">
        <f aca="false">IF(AND(CG$3&gt;=Supuestos!$B$41,CG$3&lt;Supuestos!$B$44),Supuestos!$B$40,0)</f>
        <v>0</v>
      </c>
      <c r="CH31" s="22" t="n">
        <f aca="false">IF(AND(CH$3&gt;=Supuestos!$B$41,CH$3&lt;Supuestos!$B$44),Supuestos!$B$40,0)</f>
        <v>0</v>
      </c>
    </row>
    <row r="32" customFormat="false" ht="15" hidden="false" customHeight="false" outlineLevel="0" collapsed="false">
      <c r="A32" s="8" t="s">
        <v>175</v>
      </c>
      <c r="B32" s="9" t="n">
        <f aca="false">SUM(C32:CH32)</f>
        <v>5947702.60808052</v>
      </c>
      <c r="C32" s="9" t="n">
        <f aca="false">C25+SUM(C27:C30)</f>
        <v>-75000</v>
      </c>
      <c r="D32" s="9" t="n">
        <f aca="false">D25+SUM(D27:D30)</f>
        <v>-75000</v>
      </c>
      <c r="E32" s="9" t="n">
        <f aca="false">E25+SUM(E27:E30)</f>
        <v>-75000</v>
      </c>
      <c r="F32" s="9" t="n">
        <f aca="false">F25+SUM(F27:F30)</f>
        <v>-75000</v>
      </c>
      <c r="G32" s="9" t="n">
        <f aca="false">G25+SUM(G27:G30)</f>
        <v>-237262.32</v>
      </c>
      <c r="H32" s="9" t="n">
        <f aca="false">H25+SUM(H27:H30)</f>
        <v>1722737.68</v>
      </c>
      <c r="I32" s="9" t="n">
        <f aca="false">I25+SUM(I27:I30)</f>
        <v>-188928.986666667</v>
      </c>
      <c r="J32" s="9" t="n">
        <f aca="false">J25+SUM(J27:J30)</f>
        <v>-188928.986666667</v>
      </c>
      <c r="K32" s="9" t="n">
        <f aca="false">K25+SUM(K27:K30)</f>
        <v>-262262.32</v>
      </c>
      <c r="L32" s="9" t="n">
        <f aca="false">L25+SUM(L27:L30)</f>
        <v>-381244.688911365</v>
      </c>
      <c r="M32" s="9" t="n">
        <f aca="false">M25+SUM(M27:M30)</f>
        <v>-378268.686752134</v>
      </c>
      <c r="N32" s="9" t="n">
        <f aca="false">N25+SUM(N27:N30)</f>
        <v>-375292.684592903</v>
      </c>
      <c r="O32" s="9" t="n">
        <f aca="false">O25+SUM(O27:O30)</f>
        <v>-372316.682433671</v>
      </c>
      <c r="P32" s="9" t="n">
        <f aca="false">P25+SUM(P27:P30)</f>
        <v>-369340.68027444</v>
      </c>
      <c r="Q32" s="9" t="n">
        <f aca="false">Q25+SUM(Q27:Q30)</f>
        <v>-130769.024781875</v>
      </c>
      <c r="R32" s="9" t="n">
        <f aca="false">R25+SUM(R27:R30)</f>
        <v>-127793.022622643</v>
      </c>
      <c r="S32" s="9" t="n">
        <f aca="false">S25+SUM(S27:S30)</f>
        <v>-124817.020463412</v>
      </c>
      <c r="T32" s="9" t="n">
        <f aca="false">T25+SUM(T27:T30)</f>
        <v>2543983.98169582</v>
      </c>
      <c r="U32" s="9" t="n">
        <f aca="false">U25+SUM(U27:U30)</f>
        <v>-92198.3494782823</v>
      </c>
      <c r="V32" s="9" t="n">
        <f aca="false">V25+SUM(V27:V30)</f>
        <v>-89222.3473190508</v>
      </c>
      <c r="W32" s="9" t="n">
        <f aca="false">W25+SUM(W27:W30)</f>
        <v>-86246.3451598193</v>
      </c>
      <c r="X32" s="9" t="n">
        <f aca="false">X25+SUM(X27:X30)</f>
        <v>-83270.3430005879</v>
      </c>
      <c r="Y32" s="9" t="n">
        <f aca="false">Y25+SUM(Y27:Y30)</f>
        <v>49167.1976201821</v>
      </c>
      <c r="Z32" s="9" t="n">
        <f aca="false">Z25+SUM(Z27:Z30)</f>
        <v>1640793.19977941</v>
      </c>
      <c r="AA32" s="9" t="n">
        <f aca="false">AA25+SUM(AA27:AA30)</f>
        <v>55119.201938645</v>
      </c>
      <c r="AB32" s="9" t="n">
        <f aca="false">AB25+SUM(AB27:AB30)</f>
        <v>58095.2040978765</v>
      </c>
      <c r="AC32" s="9" t="n">
        <f aca="false">AC25+SUM(AC27:AC30)</f>
        <v>61071.2062571079</v>
      </c>
      <c r="AD32" s="9" t="n">
        <f aca="false">AD25+SUM(AD27:AD30)</f>
        <v>64047.2084163394</v>
      </c>
      <c r="AE32" s="9" t="n">
        <f aca="false">AE25+SUM(AE27:AE30)</f>
        <v>67023.2105755709</v>
      </c>
      <c r="AF32" s="9" t="n">
        <f aca="false">AF25+SUM(AF27:AF30)</f>
        <v>69999.2127348024</v>
      </c>
      <c r="AG32" s="9" t="n">
        <f aca="false">AG25+SUM(AG27:AG30)</f>
        <v>72975.2148940338</v>
      </c>
      <c r="AH32" s="9" t="n">
        <f aca="false">AH25+SUM(AH27:AH30)</f>
        <v>75951.2170532653</v>
      </c>
      <c r="AI32" s="9" t="n">
        <f aca="false">AI25+SUM(AI27:AI30)</f>
        <v>78927.2192124967</v>
      </c>
      <c r="AJ32" s="9" t="n">
        <f aca="false">AJ25+SUM(AJ27:AJ30)</f>
        <v>81903.2213717282</v>
      </c>
      <c r="AK32" s="9" t="n">
        <f aca="false">AK25+SUM(AK27:AK30)</f>
        <v>84879.2235309597</v>
      </c>
      <c r="AL32" s="9" t="n">
        <f aca="false">AL25+SUM(AL27:AL30)</f>
        <v>87855.2256901912</v>
      </c>
      <c r="AM32" s="9" t="n">
        <f aca="false">AM25+SUM(AM27:AM30)</f>
        <v>90831.2278494226</v>
      </c>
      <c r="AN32" s="9" t="n">
        <f aca="false">AN25+SUM(AN27:AN30)</f>
        <v>93807.2300086541</v>
      </c>
      <c r="AO32" s="9" t="n">
        <f aca="false">AO25+SUM(AO27:AO30)</f>
        <v>96783.2321678856</v>
      </c>
      <c r="AP32" s="9" t="n">
        <f aca="false">AP25+SUM(AP27:AP30)</f>
        <v>99759.234327117</v>
      </c>
      <c r="AQ32" s="9" t="n">
        <f aca="false">AQ25+SUM(AQ27:AQ30)</f>
        <v>102735.236486348</v>
      </c>
      <c r="AR32" s="9" t="n">
        <f aca="false">AR25+SUM(AR27:AR30)</f>
        <v>105711.23864558</v>
      </c>
      <c r="AS32" s="9" t="n">
        <f aca="false">AS25+SUM(AS27:AS30)</f>
        <v>108687.240804811</v>
      </c>
      <c r="AT32" s="9" t="n">
        <f aca="false">AT25+SUM(AT27:AT30)</f>
        <v>111663.242964043</v>
      </c>
      <c r="AU32" s="9" t="n">
        <f aca="false">AU25+SUM(AU27:AU30)</f>
        <v>114639.245123274</v>
      </c>
      <c r="AV32" s="9" t="n">
        <f aca="false">AV25+SUM(AV27:AV30)</f>
        <v>108445.973926104</v>
      </c>
      <c r="AW32" s="9" t="n">
        <f aca="false">AW25+SUM(AW27:AW30)</f>
        <v>104532.075843005</v>
      </c>
      <c r="AX32" s="9" t="n">
        <f aca="false">AX25+SUM(AX27:AX30)</f>
        <v>101556.073683774</v>
      </c>
      <c r="AY32" s="9" t="n">
        <f aca="false">AY25+SUM(AY27:AY30)</f>
        <v>98580.0715245423</v>
      </c>
      <c r="AZ32" s="9" t="n">
        <f aca="false">AZ25+SUM(AZ27:AZ30)</f>
        <v>95604.0693653109</v>
      </c>
      <c r="BA32" s="9" t="n">
        <f aca="false">BA25+SUM(BA27:BA30)</f>
        <v>92628.0672060794</v>
      </c>
      <c r="BB32" s="9" t="n">
        <f aca="false">BB25+SUM(BB27:BB30)</f>
        <v>89652.0650468479</v>
      </c>
      <c r="BC32" s="9" t="n">
        <f aca="false">BC25+SUM(BC27:BC30)</f>
        <v>86676.0628876165</v>
      </c>
      <c r="BD32" s="9" t="n">
        <f aca="false">BD25+SUM(BD27:BD30)</f>
        <v>83700.060728385</v>
      </c>
      <c r="BE32" s="9" t="n">
        <f aca="false">BE25+SUM(BE27:BE30)</f>
        <v>80724.0585691535</v>
      </c>
      <c r="BF32" s="9" t="n">
        <f aca="false">BF25+SUM(BF27:BF30)</f>
        <v>77748.0564099221</v>
      </c>
      <c r="BG32" s="9" t="n">
        <f aca="false">BG25+SUM(BG27:BG30)</f>
        <v>74772.0542506906</v>
      </c>
      <c r="BH32" s="9" t="n">
        <f aca="false">BH25+SUM(BH27:BH30)</f>
        <v>71796.0520914591</v>
      </c>
      <c r="BI32" s="9" t="n">
        <f aca="false">BI25+SUM(BI27:BI30)</f>
        <v>68820.0499322277</v>
      </c>
      <c r="BJ32" s="9" t="n">
        <f aca="false">BJ25+SUM(BJ27:BJ30)</f>
        <v>65844.0477729962</v>
      </c>
      <c r="BK32" s="9" t="n">
        <f aca="false">BK25+SUM(BK27:BK30)</f>
        <v>62868.0456137647</v>
      </c>
      <c r="BL32" s="9" t="n">
        <f aca="false">BL25+SUM(BL27:BL30)</f>
        <v>59892.0434545333</v>
      </c>
      <c r="BM32" s="9" t="n">
        <f aca="false">BM25+SUM(BM27:BM30)</f>
        <v>56916.0412953018</v>
      </c>
      <c r="BN32" s="9" t="n">
        <f aca="false">BN25+SUM(BN27:BN30)</f>
        <v>53940.0391360703</v>
      </c>
      <c r="BO32" s="9" t="n">
        <f aca="false">BO25+SUM(BO27:BO30)</f>
        <v>50964.0369768389</v>
      </c>
      <c r="BP32" s="9" t="n">
        <f aca="false">BP25+SUM(BP27:BP30)</f>
        <v>47988.0348176074</v>
      </c>
      <c r="BQ32" s="9" t="n">
        <f aca="false">BQ25+SUM(BQ27:BQ30)</f>
        <v>45012.0326583759</v>
      </c>
      <c r="BR32" s="9" t="n">
        <f aca="false">BR25+SUM(BR27:BR30)</f>
        <v>42036.0304991445</v>
      </c>
      <c r="BS32" s="9" t="n">
        <f aca="false">BS25+SUM(BS27:BS30)</f>
        <v>39060.028339913</v>
      </c>
      <c r="BT32" s="9" t="n">
        <f aca="false">BT25+SUM(BT27:BT30)</f>
        <v>36084.0261806815</v>
      </c>
      <c r="BU32" s="9" t="n">
        <f aca="false">BU25+SUM(BU27:BU30)</f>
        <v>33108.0240214501</v>
      </c>
      <c r="BV32" s="9" t="n">
        <f aca="false">BV25+SUM(BV27:BV30)</f>
        <v>30132.0218622186</v>
      </c>
      <c r="BW32" s="9" t="n">
        <f aca="false">BW25+SUM(BW27:BW30)</f>
        <v>27156.0197029871</v>
      </c>
      <c r="BX32" s="9" t="n">
        <f aca="false">BX25+SUM(BX27:BX30)</f>
        <v>24180.0175437557</v>
      </c>
      <c r="BY32" s="9" t="n">
        <f aca="false">BY25+SUM(BY27:BY30)</f>
        <v>21204.0153845242</v>
      </c>
      <c r="BZ32" s="9" t="n">
        <f aca="false">BZ25+SUM(BZ27:BZ30)</f>
        <v>18228.0132252927</v>
      </c>
      <c r="CA32" s="9" t="n">
        <f aca="false">CA25+SUM(CA27:CA30)</f>
        <v>15252.0110660613</v>
      </c>
      <c r="CB32" s="9" t="n">
        <f aca="false">CB25+SUM(CB27:CB30)</f>
        <v>12276.0089068298</v>
      </c>
      <c r="CC32" s="9" t="n">
        <f aca="false">CC25+SUM(CC27:CC30)</f>
        <v>9300.00674759833</v>
      </c>
      <c r="CD32" s="9" t="n">
        <f aca="false">CD25+SUM(CD27:CD30)</f>
        <v>6324.00458836687</v>
      </c>
      <c r="CE32" s="9" t="n">
        <f aca="false">CE25+SUM(CE27:CE30)</f>
        <v>3348.0024291354</v>
      </c>
      <c r="CF32" s="9" t="n">
        <f aca="false">CF25+SUM(CF27:CF30)</f>
        <v>372.000269903933</v>
      </c>
      <c r="CG32" s="9" t="n">
        <f aca="false">CG25+SUM(CG27:CG30)</f>
        <v>0</v>
      </c>
      <c r="CH32" s="9" t="n">
        <f aca="false">CH25+SUM(CH27:CH30)</f>
        <v>0</v>
      </c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</row>
    <row r="34" customFormat="false" ht="15" hidden="false" customHeight="false" outlineLevel="0" collapsed="false">
      <c r="A34" s="6" t="s">
        <v>176</v>
      </c>
      <c r="B34" s="9" t="n">
        <f aca="false">SUM(C34:CH34)</f>
        <v>2000000</v>
      </c>
      <c r="C34" s="22" t="n">
        <f aca="false">IF(OR(C$3=1,C$3=3,C$3=5,C$3=7),Supuestos!$B$46/4,0)</f>
        <v>500000</v>
      </c>
      <c r="D34" s="22" t="n">
        <f aca="false">IF(OR(D$3=1,D$3=3,D$3=5,D$3=7),Supuestos!$B$46/4,0)</f>
        <v>0</v>
      </c>
      <c r="E34" s="22" t="n">
        <f aca="false">IF(OR(E$3=1,E$3=3,E$3=5,E$3=7),Supuestos!$B$46/4,0)</f>
        <v>500000</v>
      </c>
      <c r="F34" s="22" t="n">
        <f aca="false">IF(OR(F$3=1,F$3=3,F$3=5,F$3=7),Supuestos!$B$46/4,0)</f>
        <v>0</v>
      </c>
      <c r="G34" s="22" t="n">
        <f aca="false">IF(OR(G$3=1,G$3=3,G$3=5,G$3=7),Supuestos!$B$46/4,0)</f>
        <v>500000</v>
      </c>
      <c r="H34" s="22" t="n">
        <f aca="false">IF(OR(H$3=1,H$3=3,H$3=5,H$3=7),Supuestos!$B$46/4,0)</f>
        <v>0</v>
      </c>
      <c r="I34" s="22" t="n">
        <f aca="false">IF(OR(I$3=1,I$3=3,I$3=5,I$3=7),Supuestos!$B$46/4,0)</f>
        <v>500000</v>
      </c>
      <c r="J34" s="22" t="n">
        <f aca="false">IF(OR(J$3=1,J$3=3,J$3=5,J$3=7),Supuestos!$B$46/4,0)</f>
        <v>0</v>
      </c>
      <c r="K34" s="22" t="n">
        <f aca="false">IF(OR(K$3=1,K$3=3,K$3=5,K$3=7),Supuestos!$B$46/4,0)</f>
        <v>0</v>
      </c>
      <c r="L34" s="22" t="n">
        <f aca="false">IF(OR(L$3=1,L$3=3,L$3=5,L$3=7),Supuestos!$B$46/4,0)</f>
        <v>0</v>
      </c>
      <c r="M34" s="22" t="n">
        <f aca="false">IF(OR(M$3=1,M$3=3,M$3=5,M$3=7),Supuestos!$B$46/4,0)</f>
        <v>0</v>
      </c>
      <c r="N34" s="22" t="n">
        <f aca="false">IF(OR(N$3=1,N$3=3,N$3=5,N$3=7),Supuestos!$B$46/4,0)</f>
        <v>0</v>
      </c>
      <c r="O34" s="22" t="n">
        <f aca="false">IF(OR(O$3=1,O$3=3,O$3=5,O$3=7),Supuestos!$B$46/4,0)</f>
        <v>0</v>
      </c>
      <c r="P34" s="22" t="n">
        <f aca="false">IF(OR(P$3=1,P$3=3,P$3=5,P$3=7),Supuestos!$B$46/4,0)</f>
        <v>0</v>
      </c>
      <c r="Q34" s="22" t="n">
        <f aca="false">IF(OR(Q$3=1,Q$3=3,Q$3=5,Q$3=7),Supuestos!$B$46/4,0)</f>
        <v>0</v>
      </c>
      <c r="R34" s="22" t="n">
        <f aca="false">IF(OR(R$3=1,R$3=3,R$3=5,R$3=7),Supuestos!$B$46/4,0)</f>
        <v>0</v>
      </c>
      <c r="S34" s="22" t="n">
        <f aca="false">IF(OR(S$3=1,S$3=3,S$3=5,S$3=7),Supuestos!$B$46/4,0)</f>
        <v>0</v>
      </c>
      <c r="T34" s="22" t="n">
        <f aca="false">IF(OR(T$3=1,T$3=3,T$3=5,T$3=7),Supuestos!$B$46/4,0)</f>
        <v>0</v>
      </c>
      <c r="U34" s="22" t="n">
        <f aca="false">IF(OR(U$3=1,U$3=3,U$3=5,U$3=7),Supuestos!$B$46/4,0)</f>
        <v>0</v>
      </c>
      <c r="V34" s="22" t="n">
        <f aca="false">IF(OR(V$3=1,V$3=3,V$3=5,V$3=7),Supuestos!$B$46/4,0)</f>
        <v>0</v>
      </c>
      <c r="W34" s="22" t="n">
        <f aca="false">IF(OR(W$3=1,W$3=3,W$3=5,W$3=7),Supuestos!$B$46/4,0)</f>
        <v>0</v>
      </c>
      <c r="X34" s="22" t="n">
        <f aca="false">IF(OR(X$3=1,X$3=3,X$3=5,X$3=7),Supuestos!$B$46/4,0)</f>
        <v>0</v>
      </c>
      <c r="Y34" s="22" t="n">
        <f aca="false">IF(OR(Y$3=1,Y$3=3,Y$3=5,Y$3=7),Supuestos!$B$46/4,0)</f>
        <v>0</v>
      </c>
      <c r="Z34" s="22" t="n">
        <f aca="false">IF(OR(Z$3=1,Z$3=3,Z$3=5,Z$3=7),Supuestos!$B$46/4,0)</f>
        <v>0</v>
      </c>
      <c r="AA34" s="22" t="n">
        <f aca="false">IF(OR(AA$3=1,AA$3=3,AA$3=5,AA$3=7),Supuestos!$B$46/4,0)</f>
        <v>0</v>
      </c>
      <c r="AB34" s="22" t="n">
        <f aca="false">IF(OR(AB$3=1,AB$3=3,AB$3=5,AB$3=7),Supuestos!$B$46/4,0)</f>
        <v>0</v>
      </c>
      <c r="AC34" s="22" t="n">
        <f aca="false">IF(OR(AC$3=1,AC$3=3,AC$3=5,AC$3=7),Supuestos!$B$46/4,0)</f>
        <v>0</v>
      </c>
      <c r="AD34" s="22" t="n">
        <f aca="false">IF(OR(AD$3=1,AD$3=3,AD$3=5,AD$3=7),Supuestos!$B$46/4,0)</f>
        <v>0</v>
      </c>
      <c r="AE34" s="22" t="n">
        <f aca="false">IF(OR(AE$3=1,AE$3=3,AE$3=5,AE$3=7),Supuestos!$B$46/4,0)</f>
        <v>0</v>
      </c>
      <c r="AF34" s="22" t="n">
        <f aca="false">IF(OR(AF$3=1,AF$3=3,AF$3=5,AF$3=7),Supuestos!$B$46/4,0)</f>
        <v>0</v>
      </c>
      <c r="AG34" s="22" t="n">
        <f aca="false">IF(OR(AG$3=1,AG$3=3,AG$3=5,AG$3=7),Supuestos!$B$46/4,0)</f>
        <v>0</v>
      </c>
      <c r="AH34" s="22" t="n">
        <f aca="false">IF(OR(AH$3=1,AH$3=3,AH$3=5,AH$3=7),Supuestos!$B$46/4,0)</f>
        <v>0</v>
      </c>
      <c r="AI34" s="22" t="n">
        <f aca="false">IF(OR(AI$3=1,AI$3=3,AI$3=5,AI$3=7),Supuestos!$B$46/4,0)</f>
        <v>0</v>
      </c>
      <c r="AJ34" s="22" t="n">
        <f aca="false">IF(OR(AJ$3=1,AJ$3=3,AJ$3=5,AJ$3=7),Supuestos!$B$46/4,0)</f>
        <v>0</v>
      </c>
      <c r="AK34" s="22" t="n">
        <f aca="false">IF(OR(AK$3=1,AK$3=3,AK$3=5,AK$3=7),Supuestos!$B$46/4,0)</f>
        <v>0</v>
      </c>
      <c r="AL34" s="22" t="n">
        <f aca="false">IF(OR(AL$3=1,AL$3=3,AL$3=5,AL$3=7),Supuestos!$B$46/4,0)</f>
        <v>0</v>
      </c>
      <c r="AM34" s="22" t="n">
        <f aca="false">IF(OR(AM$3=1,AM$3=3,AM$3=5,AM$3=7),Supuestos!$B$46/4,0)</f>
        <v>0</v>
      </c>
      <c r="AN34" s="22" t="n">
        <f aca="false">IF(OR(AN$3=1,AN$3=3,AN$3=5,AN$3=7),Supuestos!$B$46/4,0)</f>
        <v>0</v>
      </c>
      <c r="AO34" s="22" t="n">
        <f aca="false">IF(OR(AO$3=1,AO$3=3,AO$3=5,AO$3=7),Supuestos!$B$46/4,0)</f>
        <v>0</v>
      </c>
      <c r="AP34" s="22" t="n">
        <f aca="false">IF(OR(AP$3=1,AP$3=3,AP$3=5,AP$3=7),Supuestos!$B$46/4,0)</f>
        <v>0</v>
      </c>
      <c r="AQ34" s="22" t="n">
        <f aca="false">IF(OR(AQ$3=1,AQ$3=3,AQ$3=5,AQ$3=7),Supuestos!$B$46/4,0)</f>
        <v>0</v>
      </c>
      <c r="AR34" s="22" t="n">
        <f aca="false">IF(OR(AR$3=1,AR$3=3,AR$3=5,AR$3=7),Supuestos!$B$46/4,0)</f>
        <v>0</v>
      </c>
      <c r="AS34" s="22" t="n">
        <f aca="false">IF(OR(AS$3=1,AS$3=3,AS$3=5,AS$3=7),Supuestos!$B$46/4,0)</f>
        <v>0</v>
      </c>
      <c r="AT34" s="22" t="n">
        <f aca="false">IF(OR(AT$3=1,AT$3=3,AT$3=5,AT$3=7),Supuestos!$B$46/4,0)</f>
        <v>0</v>
      </c>
      <c r="AU34" s="22" t="n">
        <f aca="false">IF(OR(AU$3=1,AU$3=3,AU$3=5,AU$3=7),Supuestos!$B$46/4,0)</f>
        <v>0</v>
      </c>
      <c r="AV34" s="22" t="n">
        <f aca="false">IF(OR(AV$3=1,AV$3=3,AV$3=5,AV$3=7),Supuestos!$B$46/4,0)</f>
        <v>0</v>
      </c>
      <c r="AW34" s="22" t="n">
        <f aca="false">IF(OR(AW$3=1,AW$3=3,AW$3=5,AW$3=7),Supuestos!$B$46/4,0)</f>
        <v>0</v>
      </c>
      <c r="AX34" s="22" t="n">
        <f aca="false">IF(OR(AX$3=1,AX$3=3,AX$3=5,AX$3=7),Supuestos!$B$46/4,0)</f>
        <v>0</v>
      </c>
      <c r="AY34" s="22" t="n">
        <f aca="false">IF(OR(AY$3=1,AY$3=3,AY$3=5,AY$3=7),Supuestos!$B$46/4,0)</f>
        <v>0</v>
      </c>
      <c r="AZ34" s="22" t="n">
        <f aca="false">IF(OR(AZ$3=1,AZ$3=3,AZ$3=5,AZ$3=7),Supuestos!$B$46/4,0)</f>
        <v>0</v>
      </c>
      <c r="BA34" s="22" t="n">
        <f aca="false">IF(OR(BA$3=1,BA$3=3,BA$3=5,BA$3=7),Supuestos!$B$46/4,0)</f>
        <v>0</v>
      </c>
      <c r="BB34" s="22" t="n">
        <f aca="false">IF(OR(BB$3=1,BB$3=3,BB$3=5,BB$3=7),Supuestos!$B$46/4,0)</f>
        <v>0</v>
      </c>
      <c r="BC34" s="22" t="n">
        <f aca="false">IF(OR(BC$3=1,BC$3=3,BC$3=5,BC$3=7),Supuestos!$B$46/4,0)</f>
        <v>0</v>
      </c>
      <c r="BD34" s="22" t="n">
        <f aca="false">IF(OR(BD$3=1,BD$3=3,BD$3=5,BD$3=7),Supuestos!$B$46/4,0)</f>
        <v>0</v>
      </c>
      <c r="BE34" s="22" t="n">
        <f aca="false">IF(OR(BE$3=1,BE$3=3,BE$3=5,BE$3=7),Supuestos!$B$46/4,0)</f>
        <v>0</v>
      </c>
      <c r="BF34" s="22" t="n">
        <f aca="false">IF(OR(BF$3=1,BF$3=3,BF$3=5,BF$3=7),Supuestos!$B$46/4,0)</f>
        <v>0</v>
      </c>
      <c r="BG34" s="22" t="n">
        <f aca="false">IF(OR(BG$3=1,BG$3=3,BG$3=5,BG$3=7),Supuestos!$B$46/4,0)</f>
        <v>0</v>
      </c>
      <c r="BH34" s="22" t="n">
        <f aca="false">IF(OR(BH$3=1,BH$3=3,BH$3=5,BH$3=7),Supuestos!$B$46/4,0)</f>
        <v>0</v>
      </c>
      <c r="BI34" s="22" t="n">
        <f aca="false">IF(OR(BI$3=1,BI$3=3,BI$3=5,BI$3=7),Supuestos!$B$46/4,0)</f>
        <v>0</v>
      </c>
      <c r="BJ34" s="22" t="n">
        <f aca="false">IF(OR(BJ$3=1,BJ$3=3,BJ$3=5,BJ$3=7),Supuestos!$B$46/4,0)</f>
        <v>0</v>
      </c>
      <c r="BK34" s="22" t="n">
        <f aca="false">IF(OR(BK$3=1,BK$3=3,BK$3=5,BK$3=7),Supuestos!$B$46/4,0)</f>
        <v>0</v>
      </c>
      <c r="BL34" s="22" t="n">
        <f aca="false">IF(OR(BL$3=1,BL$3=3,BL$3=5,BL$3=7),Supuestos!$B$46/4,0)</f>
        <v>0</v>
      </c>
      <c r="BM34" s="22" t="n">
        <f aca="false">IF(OR(BM$3=1,BM$3=3,BM$3=5,BM$3=7),Supuestos!$B$46/4,0)</f>
        <v>0</v>
      </c>
      <c r="BN34" s="22" t="n">
        <f aca="false">IF(OR(BN$3=1,BN$3=3,BN$3=5,BN$3=7),Supuestos!$B$46/4,0)</f>
        <v>0</v>
      </c>
      <c r="BO34" s="22" t="n">
        <f aca="false">IF(OR(BO$3=1,BO$3=3,BO$3=5,BO$3=7),Supuestos!$B$46/4,0)</f>
        <v>0</v>
      </c>
      <c r="BP34" s="22" t="n">
        <f aca="false">IF(OR(BP$3=1,BP$3=3,BP$3=5,BP$3=7),Supuestos!$B$46/4,0)</f>
        <v>0</v>
      </c>
      <c r="BQ34" s="22" t="n">
        <f aca="false">IF(OR(BQ$3=1,BQ$3=3,BQ$3=5,BQ$3=7),Supuestos!$B$46/4,0)</f>
        <v>0</v>
      </c>
      <c r="BR34" s="22" t="n">
        <f aca="false">IF(OR(BR$3=1,BR$3=3,BR$3=5,BR$3=7),Supuestos!$B$46/4,0)</f>
        <v>0</v>
      </c>
      <c r="BS34" s="22" t="n">
        <f aca="false">IF(OR(BS$3=1,BS$3=3,BS$3=5,BS$3=7),Supuestos!$B$46/4,0)</f>
        <v>0</v>
      </c>
      <c r="BT34" s="22" t="n">
        <f aca="false">IF(OR(BT$3=1,BT$3=3,BT$3=5,BT$3=7),Supuestos!$B$46/4,0)</f>
        <v>0</v>
      </c>
      <c r="BU34" s="22" t="n">
        <f aca="false">IF(OR(BU$3=1,BU$3=3,BU$3=5,BU$3=7),Supuestos!$B$46/4,0)</f>
        <v>0</v>
      </c>
      <c r="BV34" s="22" t="n">
        <f aca="false">IF(OR(BV$3=1,BV$3=3,BV$3=5,BV$3=7),Supuestos!$B$46/4,0)</f>
        <v>0</v>
      </c>
      <c r="BW34" s="22" t="n">
        <f aca="false">IF(OR(BW$3=1,BW$3=3,BW$3=5,BW$3=7),Supuestos!$B$46/4,0)</f>
        <v>0</v>
      </c>
      <c r="BX34" s="22" t="n">
        <f aca="false">IF(OR(BX$3=1,BX$3=3,BX$3=5,BX$3=7),Supuestos!$B$46/4,0)</f>
        <v>0</v>
      </c>
      <c r="BY34" s="22" t="n">
        <f aca="false">IF(OR(BY$3=1,BY$3=3,BY$3=5,BY$3=7),Supuestos!$B$46/4,0)</f>
        <v>0</v>
      </c>
      <c r="BZ34" s="22" t="n">
        <f aca="false">IF(OR(BZ$3=1,BZ$3=3,BZ$3=5,BZ$3=7),Supuestos!$B$46/4,0)</f>
        <v>0</v>
      </c>
      <c r="CA34" s="22" t="n">
        <f aca="false">IF(OR(CA$3=1,CA$3=3,CA$3=5,CA$3=7),Supuestos!$B$46/4,0)</f>
        <v>0</v>
      </c>
      <c r="CB34" s="22" t="n">
        <f aca="false">IF(OR(CB$3=1,CB$3=3,CB$3=5,CB$3=7),Supuestos!$B$46/4,0)</f>
        <v>0</v>
      </c>
      <c r="CC34" s="22" t="n">
        <f aca="false">IF(OR(CC$3=1,CC$3=3,CC$3=5,CC$3=7),Supuestos!$B$46/4,0)</f>
        <v>0</v>
      </c>
      <c r="CD34" s="22" t="n">
        <f aca="false">IF(OR(CD$3=1,CD$3=3,CD$3=5,CD$3=7),Supuestos!$B$46/4,0)</f>
        <v>0</v>
      </c>
      <c r="CE34" s="22" t="n">
        <f aca="false">IF(OR(CE$3=1,CE$3=3,CE$3=5,CE$3=7),Supuestos!$B$46/4,0)</f>
        <v>0</v>
      </c>
      <c r="CF34" s="22" t="n">
        <f aca="false">IF(OR(CF$3=1,CF$3=3,CF$3=5,CF$3=7),Supuestos!$B$46/4,0)</f>
        <v>0</v>
      </c>
      <c r="CG34" s="22" t="n">
        <f aca="false">IF(OR(CG$3=1,CG$3=3,CG$3=5,CG$3=7),Supuestos!$B$46/4,0)</f>
        <v>0</v>
      </c>
      <c r="CH34" s="22" t="n">
        <f aca="false">IF(OR(CH$3=1,CH$3=3,CH$3=5,CH$3=7),Supuestos!$B$46/4,0)</f>
        <v>0</v>
      </c>
    </row>
    <row r="35" customFormat="false" ht="15" hidden="false" customHeight="false" outlineLevel="0" collapsed="false">
      <c r="A35" s="6" t="s">
        <v>177</v>
      </c>
      <c r="B35" s="9" t="n">
        <f aca="false">SUM(C35:CH35)</f>
        <v>-493192.874678073</v>
      </c>
      <c r="C35" s="22" t="n">
        <f aca="false">-IF(C$3=Supuestos!$B$56,Resumen!$B$27,0)-IF(C$3=Supuestos!$B$57,Resumen!$B$28,0)</f>
        <v>-0</v>
      </c>
      <c r="D35" s="22" t="n">
        <f aca="false">-IF(D$3=Supuestos!$B$56,Resumen!$B$27,0)-IF(D$3=Supuestos!$B$57,Resumen!$B$28,0)</f>
        <v>-0</v>
      </c>
      <c r="E35" s="22" t="n">
        <f aca="false">-IF(E$3=Supuestos!$B$56,Resumen!$B$27,0)-IF(E$3=Supuestos!$B$57,Resumen!$B$28,0)</f>
        <v>-0</v>
      </c>
      <c r="F35" s="22" t="n">
        <f aca="false">-IF(F$3=Supuestos!$B$56,Resumen!$B$27,0)-IF(F$3=Supuestos!$B$57,Resumen!$B$28,0)</f>
        <v>-0</v>
      </c>
      <c r="G35" s="22" t="n">
        <f aca="false">-IF(G$3=Supuestos!$B$56,Resumen!$B$27,0)-IF(G$3=Supuestos!$B$57,Resumen!$B$28,0)</f>
        <v>-0</v>
      </c>
      <c r="H35" s="22" t="n">
        <f aca="false">-IF(H$3=Supuestos!$B$56,Resumen!$B$27,0)-IF(H$3=Supuestos!$B$57,Resumen!$B$28,0)</f>
        <v>-0</v>
      </c>
      <c r="I35" s="22" t="n">
        <f aca="false">-IF(I$3=Supuestos!$B$56,Resumen!$B$27,0)-IF(I$3=Supuestos!$B$57,Resumen!$B$28,0)</f>
        <v>-0</v>
      </c>
      <c r="J35" s="22" t="n">
        <f aca="false">-IF(J$3=Supuestos!$B$56,Resumen!$B$27,0)-IF(J$3=Supuestos!$B$57,Resumen!$B$28,0)</f>
        <v>-0</v>
      </c>
      <c r="K35" s="22" t="n">
        <f aca="false">-IF(K$3=Supuestos!$B$56,Resumen!$B$27,0)-IF(K$3=Supuestos!$B$57,Resumen!$B$28,0)</f>
        <v>-0</v>
      </c>
      <c r="L35" s="22" t="n">
        <f aca="false">-IF(L$3=Supuestos!$B$56,Resumen!$B$27,0)-IF(L$3=Supuestos!$B$57,Resumen!$B$28,0)</f>
        <v>-0</v>
      </c>
      <c r="M35" s="22" t="n">
        <f aca="false">-IF(M$3=Supuestos!$B$56,Resumen!$B$27,0)-IF(M$3=Supuestos!$B$57,Resumen!$B$28,0)</f>
        <v>-0</v>
      </c>
      <c r="N35" s="22" t="n">
        <f aca="false">-IF(N$3=Supuestos!$B$56,Resumen!$B$27,0)-IF(N$3=Supuestos!$B$57,Resumen!$B$28,0)</f>
        <v>-0</v>
      </c>
      <c r="O35" s="22" t="n">
        <f aca="false">-IF(O$3=Supuestos!$B$56,Resumen!$B$27,0)-IF(O$3=Supuestos!$B$57,Resumen!$B$28,0)</f>
        <v>-0</v>
      </c>
      <c r="P35" s="22" t="n">
        <f aca="false">-IF(P$3=Supuestos!$B$56,Resumen!$B$27,0)-IF(P$3=Supuestos!$B$57,Resumen!$B$28,0)</f>
        <v>-0</v>
      </c>
      <c r="Q35" s="22" t="n">
        <f aca="false">-IF(Q$3=Supuestos!$B$56,Resumen!$B$27,0)-IF(Q$3=Supuestos!$B$57,Resumen!$B$28,0)</f>
        <v>-0</v>
      </c>
      <c r="R35" s="22" t="n">
        <f aca="false">-IF(R$3=Supuestos!$B$56,Resumen!$B$27,0)-IF(R$3=Supuestos!$B$57,Resumen!$B$28,0)</f>
        <v>-0</v>
      </c>
      <c r="S35" s="22" t="n">
        <f aca="false">-IF(S$3=Supuestos!$B$56,Resumen!$B$27,0)-IF(S$3=Supuestos!$B$57,Resumen!$B$28,0)</f>
        <v>-0</v>
      </c>
      <c r="T35" s="22" t="n">
        <f aca="false">-IF(T$3=Supuestos!$B$56,Resumen!$B$27,0)-IF(T$3=Supuestos!$B$57,Resumen!$B$28,0)</f>
        <v>-0</v>
      </c>
      <c r="U35" s="22" t="n">
        <f aca="false">-IF(U$3=Supuestos!$B$56,Resumen!$B$27,0)-IF(U$3=Supuestos!$B$57,Resumen!$B$28,0)</f>
        <v>-0</v>
      </c>
      <c r="V35" s="22" t="n">
        <f aca="false">-IF(V$3=Supuestos!$B$56,Resumen!$B$27,0)-IF(V$3=Supuestos!$B$57,Resumen!$B$28,0)</f>
        <v>-0</v>
      </c>
      <c r="W35" s="22" t="n">
        <f aca="false">-IF(W$3=Supuestos!$B$56,Resumen!$B$27,0)-IF(W$3=Supuestos!$B$57,Resumen!$B$28,0)</f>
        <v>-210465.248683713</v>
      </c>
      <c r="X35" s="22" t="n">
        <f aca="false">-IF(X$3=Supuestos!$B$56,Resumen!$B$27,0)-IF(X$3=Supuestos!$B$57,Resumen!$B$28,0)</f>
        <v>-0</v>
      </c>
      <c r="Y35" s="22" t="n">
        <f aca="false">-IF(Y$3=Supuestos!$B$56,Resumen!$B$27,0)-IF(Y$3=Supuestos!$B$57,Resumen!$B$28,0)</f>
        <v>-0</v>
      </c>
      <c r="Z35" s="22" t="n">
        <f aca="false">-IF(Z$3=Supuestos!$B$56,Resumen!$B$27,0)-IF(Z$3=Supuestos!$B$57,Resumen!$B$28,0)</f>
        <v>-0</v>
      </c>
      <c r="AA35" s="22" t="n">
        <f aca="false">-IF(AA$3=Supuestos!$B$56,Resumen!$B$27,0)-IF(AA$3=Supuestos!$B$57,Resumen!$B$28,0)</f>
        <v>-0</v>
      </c>
      <c r="AB35" s="22" t="n">
        <f aca="false">-IF(AB$3=Supuestos!$B$56,Resumen!$B$27,0)-IF(AB$3=Supuestos!$B$57,Resumen!$B$28,0)</f>
        <v>-0</v>
      </c>
      <c r="AC35" s="22" t="n">
        <f aca="false">-IF(AC$3=Supuestos!$B$56,Resumen!$B$27,0)-IF(AC$3=Supuestos!$B$57,Resumen!$B$28,0)</f>
        <v>-0</v>
      </c>
      <c r="AD35" s="22" t="n">
        <f aca="false">-IF(AD$3=Supuestos!$B$56,Resumen!$B$27,0)-IF(AD$3=Supuestos!$B$57,Resumen!$B$28,0)</f>
        <v>-0</v>
      </c>
      <c r="AE35" s="22" t="n">
        <f aca="false">-IF(AE$3=Supuestos!$B$56,Resumen!$B$27,0)-IF(AE$3=Supuestos!$B$57,Resumen!$B$28,0)</f>
        <v>-0</v>
      </c>
      <c r="AF35" s="22" t="n">
        <f aca="false">-IF(AF$3=Supuestos!$B$56,Resumen!$B$27,0)-IF(AF$3=Supuestos!$B$57,Resumen!$B$28,0)</f>
        <v>-0</v>
      </c>
      <c r="AG35" s="22" t="n">
        <f aca="false">-IF(AG$3=Supuestos!$B$56,Resumen!$B$27,0)-IF(AG$3=Supuestos!$B$57,Resumen!$B$28,0)</f>
        <v>-0</v>
      </c>
      <c r="AH35" s="22" t="n">
        <f aca="false">-IF(AH$3=Supuestos!$B$56,Resumen!$B$27,0)-IF(AH$3=Supuestos!$B$57,Resumen!$B$28,0)</f>
        <v>-0</v>
      </c>
      <c r="AI35" s="22" t="n">
        <f aca="false">-IF(AI$3=Supuestos!$B$56,Resumen!$B$27,0)-IF(AI$3=Supuestos!$B$57,Resumen!$B$28,0)</f>
        <v>-0</v>
      </c>
      <c r="AJ35" s="22" t="n">
        <f aca="false">-IF(AJ$3=Supuestos!$B$56,Resumen!$B$27,0)-IF(AJ$3=Supuestos!$B$57,Resumen!$B$28,0)</f>
        <v>-0</v>
      </c>
      <c r="AK35" s="22" t="n">
        <f aca="false">-IF(AK$3=Supuestos!$B$56,Resumen!$B$27,0)-IF(AK$3=Supuestos!$B$57,Resumen!$B$28,0)</f>
        <v>-0</v>
      </c>
      <c r="AL35" s="22" t="n">
        <f aca="false">-IF(AL$3=Supuestos!$B$56,Resumen!$B$27,0)-IF(AL$3=Supuestos!$B$57,Resumen!$B$28,0)</f>
        <v>-0</v>
      </c>
      <c r="AM35" s="22" t="n">
        <f aca="false">-IF(AM$3=Supuestos!$B$56,Resumen!$B$27,0)-IF(AM$3=Supuestos!$B$57,Resumen!$B$28,0)</f>
        <v>-0</v>
      </c>
      <c r="AN35" s="22" t="n">
        <f aca="false">-IF(AN$3=Supuestos!$B$56,Resumen!$B$27,0)-IF(AN$3=Supuestos!$B$57,Resumen!$B$28,0)</f>
        <v>-0</v>
      </c>
      <c r="AO35" s="22" t="n">
        <f aca="false">-IF(AO$3=Supuestos!$B$56,Resumen!$B$27,0)-IF(AO$3=Supuestos!$B$57,Resumen!$B$28,0)</f>
        <v>-0</v>
      </c>
      <c r="AP35" s="22" t="n">
        <f aca="false">-IF(AP$3=Supuestos!$B$56,Resumen!$B$27,0)-IF(AP$3=Supuestos!$B$57,Resumen!$B$28,0)</f>
        <v>-0</v>
      </c>
      <c r="AQ35" s="22" t="n">
        <f aca="false">-IF(AQ$3=Supuestos!$B$56,Resumen!$B$27,0)-IF(AQ$3=Supuestos!$B$57,Resumen!$B$28,0)</f>
        <v>-0</v>
      </c>
      <c r="AR35" s="22" t="n">
        <f aca="false">-IF(AR$3=Supuestos!$B$56,Resumen!$B$27,0)-IF(AR$3=Supuestos!$B$57,Resumen!$B$28,0)</f>
        <v>-0</v>
      </c>
      <c r="AS35" s="22" t="n">
        <f aca="false">-IF(AS$3=Supuestos!$B$56,Resumen!$B$27,0)-IF(AS$3=Supuestos!$B$57,Resumen!$B$28,0)</f>
        <v>-0</v>
      </c>
      <c r="AT35" s="22" t="n">
        <f aca="false">-IF(AT$3=Supuestos!$B$56,Resumen!$B$27,0)-IF(AT$3=Supuestos!$B$57,Resumen!$B$28,0)</f>
        <v>-0</v>
      </c>
      <c r="AU35" s="22" t="n">
        <f aca="false">-IF(AU$3=Supuestos!$B$56,Resumen!$B$27,0)-IF(AU$3=Supuestos!$B$57,Resumen!$B$28,0)</f>
        <v>-0</v>
      </c>
      <c r="AV35" s="22" t="n">
        <f aca="false">-IF(AV$3=Supuestos!$B$56,Resumen!$B$27,0)-IF(AV$3=Supuestos!$B$57,Resumen!$B$28,0)</f>
        <v>-0</v>
      </c>
      <c r="AW35" s="22" t="n">
        <f aca="false">-IF(AW$3=Supuestos!$B$56,Resumen!$B$27,0)-IF(AW$3=Supuestos!$B$57,Resumen!$B$28,0)</f>
        <v>-0</v>
      </c>
      <c r="AX35" s="22" t="n">
        <f aca="false">-IF(AX$3=Supuestos!$B$56,Resumen!$B$27,0)-IF(AX$3=Supuestos!$B$57,Resumen!$B$28,0)</f>
        <v>-0</v>
      </c>
      <c r="AY35" s="22" t="n">
        <f aca="false">-IF(AY$3=Supuestos!$B$56,Resumen!$B$27,0)-IF(AY$3=Supuestos!$B$57,Resumen!$B$28,0)</f>
        <v>-0</v>
      </c>
      <c r="AZ35" s="22" t="n">
        <f aca="false">-IF(AZ$3=Supuestos!$B$56,Resumen!$B$27,0)-IF(AZ$3=Supuestos!$B$57,Resumen!$B$28,0)</f>
        <v>-0</v>
      </c>
      <c r="BA35" s="22" t="n">
        <f aca="false">-IF(BA$3=Supuestos!$B$56,Resumen!$B$27,0)-IF(BA$3=Supuestos!$B$57,Resumen!$B$28,0)</f>
        <v>-0</v>
      </c>
      <c r="BB35" s="22" t="n">
        <f aca="false">-IF(BB$3=Supuestos!$B$56,Resumen!$B$27,0)-IF(BB$3=Supuestos!$B$57,Resumen!$B$28,0)</f>
        <v>-0</v>
      </c>
      <c r="BC35" s="22" t="n">
        <f aca="false">-IF(BC$3=Supuestos!$B$56,Resumen!$B$27,0)-IF(BC$3=Supuestos!$B$57,Resumen!$B$28,0)</f>
        <v>-0</v>
      </c>
      <c r="BD35" s="22" t="n">
        <f aca="false">-IF(BD$3=Supuestos!$B$56,Resumen!$B$27,0)-IF(BD$3=Supuestos!$B$57,Resumen!$B$28,0)</f>
        <v>-0</v>
      </c>
      <c r="BE35" s="22" t="n">
        <f aca="false">-IF(BE$3=Supuestos!$B$56,Resumen!$B$27,0)-IF(BE$3=Supuestos!$B$57,Resumen!$B$28,0)</f>
        <v>-0</v>
      </c>
      <c r="BF35" s="22" t="n">
        <f aca="false">-IF(BF$3=Supuestos!$B$56,Resumen!$B$27,0)-IF(BF$3=Supuestos!$B$57,Resumen!$B$28,0)</f>
        <v>-0</v>
      </c>
      <c r="BG35" s="22" t="n">
        <f aca="false">-IF(BG$3=Supuestos!$B$56,Resumen!$B$27,0)-IF(BG$3=Supuestos!$B$57,Resumen!$B$28,0)</f>
        <v>-0</v>
      </c>
      <c r="BH35" s="22" t="n">
        <f aca="false">-IF(BH$3=Supuestos!$B$56,Resumen!$B$27,0)-IF(BH$3=Supuestos!$B$57,Resumen!$B$28,0)</f>
        <v>-0</v>
      </c>
      <c r="BI35" s="22" t="n">
        <f aca="false">-IF(BI$3=Supuestos!$B$56,Resumen!$B$27,0)-IF(BI$3=Supuestos!$B$57,Resumen!$B$28,0)</f>
        <v>-0</v>
      </c>
      <c r="BJ35" s="22" t="n">
        <f aca="false">-IF(BJ$3=Supuestos!$B$56,Resumen!$B$27,0)-IF(BJ$3=Supuestos!$B$57,Resumen!$B$28,0)</f>
        <v>-282727.62599436</v>
      </c>
      <c r="BK35" s="22" t="n">
        <f aca="false">-IF(BK$3=Supuestos!$B$56,Resumen!$B$27,0)-IF(BK$3=Supuestos!$B$57,Resumen!$B$28,0)</f>
        <v>-0</v>
      </c>
      <c r="BL35" s="22" t="n">
        <f aca="false">-IF(BL$3=Supuestos!$B$56,Resumen!$B$27,0)-IF(BL$3=Supuestos!$B$57,Resumen!$B$28,0)</f>
        <v>-0</v>
      </c>
      <c r="BM35" s="22" t="n">
        <f aca="false">-IF(BM$3=Supuestos!$B$56,Resumen!$B$27,0)-IF(BM$3=Supuestos!$B$57,Resumen!$B$28,0)</f>
        <v>-0</v>
      </c>
      <c r="BN35" s="22" t="n">
        <f aca="false">-IF(BN$3=Supuestos!$B$56,Resumen!$B$27,0)-IF(BN$3=Supuestos!$B$57,Resumen!$B$28,0)</f>
        <v>-0</v>
      </c>
      <c r="BO35" s="22" t="n">
        <f aca="false">-IF(BO$3=Supuestos!$B$56,Resumen!$B$27,0)-IF(BO$3=Supuestos!$B$57,Resumen!$B$28,0)</f>
        <v>-0</v>
      </c>
      <c r="BP35" s="22" t="n">
        <f aca="false">-IF(BP$3=Supuestos!$B$56,Resumen!$B$27,0)-IF(BP$3=Supuestos!$B$57,Resumen!$B$28,0)</f>
        <v>-0</v>
      </c>
      <c r="BQ35" s="22" t="n">
        <f aca="false">-IF(BQ$3=Supuestos!$B$56,Resumen!$B$27,0)-IF(BQ$3=Supuestos!$B$57,Resumen!$B$28,0)</f>
        <v>-0</v>
      </c>
      <c r="BR35" s="22" t="n">
        <f aca="false">-IF(BR$3=Supuestos!$B$56,Resumen!$B$27,0)-IF(BR$3=Supuestos!$B$57,Resumen!$B$28,0)</f>
        <v>-0</v>
      </c>
      <c r="BS35" s="22" t="n">
        <f aca="false">-IF(BS$3=Supuestos!$B$56,Resumen!$B$27,0)-IF(BS$3=Supuestos!$B$57,Resumen!$B$28,0)</f>
        <v>-0</v>
      </c>
      <c r="BT35" s="22" t="n">
        <f aca="false">-IF(BT$3=Supuestos!$B$56,Resumen!$B$27,0)-IF(BT$3=Supuestos!$B$57,Resumen!$B$28,0)</f>
        <v>-0</v>
      </c>
      <c r="BU35" s="22" t="n">
        <f aca="false">-IF(BU$3=Supuestos!$B$56,Resumen!$B$27,0)-IF(BU$3=Supuestos!$B$57,Resumen!$B$28,0)</f>
        <v>-0</v>
      </c>
      <c r="BV35" s="22" t="n">
        <f aca="false">-IF(BV$3=Supuestos!$B$56,Resumen!$B$27,0)-IF(BV$3=Supuestos!$B$57,Resumen!$B$28,0)</f>
        <v>-0</v>
      </c>
      <c r="BW35" s="22" t="n">
        <f aca="false">-IF(BW$3=Supuestos!$B$56,Resumen!$B$27,0)-IF(BW$3=Supuestos!$B$57,Resumen!$B$28,0)</f>
        <v>-0</v>
      </c>
      <c r="BX35" s="22" t="n">
        <f aca="false">-IF(BX$3=Supuestos!$B$56,Resumen!$B$27,0)-IF(BX$3=Supuestos!$B$57,Resumen!$B$28,0)</f>
        <v>-0</v>
      </c>
      <c r="BY35" s="22" t="n">
        <f aca="false">-IF(BY$3=Supuestos!$B$56,Resumen!$B$27,0)-IF(BY$3=Supuestos!$B$57,Resumen!$B$28,0)</f>
        <v>-0</v>
      </c>
      <c r="BZ35" s="22" t="n">
        <f aca="false">-IF(BZ$3=Supuestos!$B$56,Resumen!$B$27,0)-IF(BZ$3=Supuestos!$B$57,Resumen!$B$28,0)</f>
        <v>-0</v>
      </c>
      <c r="CA35" s="22" t="n">
        <f aca="false">-IF(CA$3=Supuestos!$B$56,Resumen!$B$27,0)-IF(CA$3=Supuestos!$B$57,Resumen!$B$28,0)</f>
        <v>-0</v>
      </c>
      <c r="CB35" s="22" t="n">
        <f aca="false">-IF(CB$3=Supuestos!$B$56,Resumen!$B$27,0)-IF(CB$3=Supuestos!$B$57,Resumen!$B$28,0)</f>
        <v>-0</v>
      </c>
      <c r="CC35" s="22" t="n">
        <f aca="false">-IF(CC$3=Supuestos!$B$56,Resumen!$B$27,0)-IF(CC$3=Supuestos!$B$57,Resumen!$B$28,0)</f>
        <v>-0</v>
      </c>
      <c r="CD35" s="22" t="n">
        <f aca="false">-IF(CD$3=Supuestos!$B$56,Resumen!$B$27,0)-IF(CD$3=Supuestos!$B$57,Resumen!$B$28,0)</f>
        <v>-0</v>
      </c>
      <c r="CE35" s="22" t="n">
        <f aca="false">-IF(CE$3=Supuestos!$B$56,Resumen!$B$27,0)-IF(CE$3=Supuestos!$B$57,Resumen!$B$28,0)</f>
        <v>-0</v>
      </c>
      <c r="CF35" s="22" t="n">
        <f aca="false">-IF(CF$3=Supuestos!$B$56,Resumen!$B$27,0)-IF(CF$3=Supuestos!$B$57,Resumen!$B$28,0)</f>
        <v>-0</v>
      </c>
      <c r="CG35" s="22" t="n">
        <f aca="false">-IF(CG$3=Supuestos!$B$56,Resumen!$B$27,0)-IF(CG$3=Supuestos!$B$57,Resumen!$B$28,0)</f>
        <v>-0</v>
      </c>
      <c r="CH35" s="22" t="n">
        <f aca="false">-IF(CH$3=Supuestos!$B$56,Resumen!$B$27,0)-IF(CH$3=Supuestos!$B$57,Resumen!$B$28,0)</f>
        <v>-0</v>
      </c>
    </row>
    <row r="36" customFormat="false" ht="15" hidden="false" customHeight="false" outlineLevel="0" collapsed="false">
      <c r="A36" s="8" t="s">
        <v>178</v>
      </c>
      <c r="B36" s="9" t="n">
        <f aca="false">SUM(C36:CH36)</f>
        <v>7454509.73340245</v>
      </c>
      <c r="C36" s="9" t="n">
        <f aca="false">C32+C34+C35</f>
        <v>425000</v>
      </c>
      <c r="D36" s="9" t="n">
        <f aca="false">D32+D34+D35</f>
        <v>-75000</v>
      </c>
      <c r="E36" s="9" t="n">
        <f aca="false">E32+E34+E35</f>
        <v>425000</v>
      </c>
      <c r="F36" s="9" t="n">
        <f aca="false">F32+F34+F35</f>
        <v>-75000</v>
      </c>
      <c r="G36" s="9" t="n">
        <f aca="false">G32+G34+G35</f>
        <v>262737.68</v>
      </c>
      <c r="H36" s="9" t="n">
        <f aca="false">H32+H34+H35</f>
        <v>1722737.68</v>
      </c>
      <c r="I36" s="9" t="n">
        <f aca="false">I32+I34+I35</f>
        <v>311071.013333333</v>
      </c>
      <c r="J36" s="9" t="n">
        <f aca="false">J32+J34+J35</f>
        <v>-188928.986666667</v>
      </c>
      <c r="K36" s="9" t="n">
        <f aca="false">K32+K34+K35</f>
        <v>-262262.32</v>
      </c>
      <c r="L36" s="9" t="n">
        <f aca="false">L32+L34+L35</f>
        <v>-381244.688911365</v>
      </c>
      <c r="M36" s="9" t="n">
        <f aca="false">M32+M34+M35</f>
        <v>-378268.686752134</v>
      </c>
      <c r="N36" s="9" t="n">
        <f aca="false">N32+N34+N35</f>
        <v>-375292.684592903</v>
      </c>
      <c r="O36" s="9" t="n">
        <f aca="false">O32+O34+O35</f>
        <v>-372316.682433671</v>
      </c>
      <c r="P36" s="9" t="n">
        <f aca="false">P32+P34+P35</f>
        <v>-369340.68027444</v>
      </c>
      <c r="Q36" s="9" t="n">
        <f aca="false">Q32+Q34+Q35</f>
        <v>-130769.024781875</v>
      </c>
      <c r="R36" s="9" t="n">
        <f aca="false">R32+R34+R35</f>
        <v>-127793.022622643</v>
      </c>
      <c r="S36" s="9" t="n">
        <f aca="false">S32+S34+S35</f>
        <v>-124817.020463412</v>
      </c>
      <c r="T36" s="9" t="n">
        <f aca="false">T32+T34+T35</f>
        <v>2543983.98169582</v>
      </c>
      <c r="U36" s="9" t="n">
        <f aca="false">U32+U34+U35</f>
        <v>-92198.3494782823</v>
      </c>
      <c r="V36" s="9" t="n">
        <f aca="false">V32+V34+V35</f>
        <v>-89222.3473190508</v>
      </c>
      <c r="W36" s="9" t="n">
        <f aca="false">W32+W34+W35</f>
        <v>-296711.593843533</v>
      </c>
      <c r="X36" s="9" t="n">
        <f aca="false">X32+X34+X35</f>
        <v>-83270.3430005879</v>
      </c>
      <c r="Y36" s="9" t="n">
        <f aca="false">Y32+Y34+Y35</f>
        <v>49167.1976201821</v>
      </c>
      <c r="Z36" s="9" t="n">
        <f aca="false">Z32+Z34+Z35</f>
        <v>1640793.19977941</v>
      </c>
      <c r="AA36" s="9" t="n">
        <f aca="false">AA32+AA34+AA35</f>
        <v>55119.201938645</v>
      </c>
      <c r="AB36" s="9" t="n">
        <f aca="false">AB32+AB34+AB35</f>
        <v>58095.2040978765</v>
      </c>
      <c r="AC36" s="9" t="n">
        <f aca="false">AC32+AC34+AC35</f>
        <v>61071.2062571079</v>
      </c>
      <c r="AD36" s="9" t="n">
        <f aca="false">AD32+AD34+AD35</f>
        <v>64047.2084163394</v>
      </c>
      <c r="AE36" s="9" t="n">
        <f aca="false">AE32+AE34+AE35</f>
        <v>67023.2105755709</v>
      </c>
      <c r="AF36" s="9" t="n">
        <f aca="false">AF32+AF34+AF35</f>
        <v>69999.2127348024</v>
      </c>
      <c r="AG36" s="9" t="n">
        <f aca="false">AG32+AG34+AG35</f>
        <v>72975.2148940338</v>
      </c>
      <c r="AH36" s="9" t="n">
        <f aca="false">AH32+AH34+AH35</f>
        <v>75951.2170532653</v>
      </c>
      <c r="AI36" s="9" t="n">
        <f aca="false">AI32+AI34+AI35</f>
        <v>78927.2192124967</v>
      </c>
      <c r="AJ36" s="9" t="n">
        <f aca="false">AJ32+AJ34+AJ35</f>
        <v>81903.2213717282</v>
      </c>
      <c r="AK36" s="9" t="n">
        <f aca="false">AK32+AK34+AK35</f>
        <v>84879.2235309597</v>
      </c>
      <c r="AL36" s="9" t="n">
        <f aca="false">AL32+AL34+AL35</f>
        <v>87855.2256901912</v>
      </c>
      <c r="AM36" s="9" t="n">
        <f aca="false">AM32+AM34+AM35</f>
        <v>90831.2278494226</v>
      </c>
      <c r="AN36" s="9" t="n">
        <f aca="false">AN32+AN34+AN35</f>
        <v>93807.2300086541</v>
      </c>
      <c r="AO36" s="9" t="n">
        <f aca="false">AO32+AO34+AO35</f>
        <v>96783.2321678856</v>
      </c>
      <c r="AP36" s="9" t="n">
        <f aca="false">AP32+AP34+AP35</f>
        <v>99759.234327117</v>
      </c>
      <c r="AQ36" s="9" t="n">
        <f aca="false">AQ32+AQ34+AQ35</f>
        <v>102735.236486348</v>
      </c>
      <c r="AR36" s="9" t="n">
        <f aca="false">AR32+AR34+AR35</f>
        <v>105711.23864558</v>
      </c>
      <c r="AS36" s="9" t="n">
        <f aca="false">AS32+AS34+AS35</f>
        <v>108687.240804811</v>
      </c>
      <c r="AT36" s="9" t="n">
        <f aca="false">AT32+AT34+AT35</f>
        <v>111663.242964043</v>
      </c>
      <c r="AU36" s="9" t="n">
        <f aca="false">AU32+AU34+AU35</f>
        <v>114639.245123274</v>
      </c>
      <c r="AV36" s="9" t="n">
        <f aca="false">AV32+AV34+AV35</f>
        <v>108445.973926104</v>
      </c>
      <c r="AW36" s="9" t="n">
        <f aca="false">AW32+AW34+AW35</f>
        <v>104532.075843005</v>
      </c>
      <c r="AX36" s="9" t="n">
        <f aca="false">AX32+AX34+AX35</f>
        <v>101556.073683774</v>
      </c>
      <c r="AY36" s="9" t="n">
        <f aca="false">AY32+AY34+AY35</f>
        <v>98580.0715245423</v>
      </c>
      <c r="AZ36" s="9" t="n">
        <f aca="false">AZ32+AZ34+AZ35</f>
        <v>95604.0693653109</v>
      </c>
      <c r="BA36" s="9" t="n">
        <f aca="false">BA32+BA34+BA35</f>
        <v>92628.0672060794</v>
      </c>
      <c r="BB36" s="9" t="n">
        <f aca="false">BB32+BB34+BB35</f>
        <v>89652.0650468479</v>
      </c>
      <c r="BC36" s="9" t="n">
        <f aca="false">BC32+BC34+BC35</f>
        <v>86676.0628876165</v>
      </c>
      <c r="BD36" s="9" t="n">
        <f aca="false">BD32+BD34+BD35</f>
        <v>83700.060728385</v>
      </c>
      <c r="BE36" s="9" t="n">
        <f aca="false">BE32+BE34+BE35</f>
        <v>80724.0585691535</v>
      </c>
      <c r="BF36" s="9" t="n">
        <f aca="false">BF32+BF34+BF35</f>
        <v>77748.0564099221</v>
      </c>
      <c r="BG36" s="9" t="n">
        <f aca="false">BG32+BG34+BG35</f>
        <v>74772.0542506906</v>
      </c>
      <c r="BH36" s="9" t="n">
        <f aca="false">BH32+BH34+BH35</f>
        <v>71796.0520914591</v>
      </c>
      <c r="BI36" s="9" t="n">
        <f aca="false">BI32+BI34+BI35</f>
        <v>68820.0499322277</v>
      </c>
      <c r="BJ36" s="9" t="n">
        <f aca="false">BJ32+BJ34+BJ35</f>
        <v>-216883.578221364</v>
      </c>
      <c r="BK36" s="9" t="n">
        <f aca="false">BK32+BK34+BK35</f>
        <v>62868.0456137647</v>
      </c>
      <c r="BL36" s="9" t="n">
        <f aca="false">BL32+BL34+BL35</f>
        <v>59892.0434545333</v>
      </c>
      <c r="BM36" s="9" t="n">
        <f aca="false">BM32+BM34+BM35</f>
        <v>56916.0412953018</v>
      </c>
      <c r="BN36" s="9" t="n">
        <f aca="false">BN32+BN34+BN35</f>
        <v>53940.0391360703</v>
      </c>
      <c r="BO36" s="9" t="n">
        <f aca="false">BO32+BO34+BO35</f>
        <v>50964.0369768389</v>
      </c>
      <c r="BP36" s="9" t="n">
        <f aca="false">BP32+BP34+BP35</f>
        <v>47988.0348176074</v>
      </c>
      <c r="BQ36" s="9" t="n">
        <f aca="false">BQ32+BQ34+BQ35</f>
        <v>45012.0326583759</v>
      </c>
      <c r="BR36" s="9" t="n">
        <f aca="false">BR32+BR34+BR35</f>
        <v>42036.0304991445</v>
      </c>
      <c r="BS36" s="9" t="n">
        <f aca="false">BS32+BS34+BS35</f>
        <v>39060.028339913</v>
      </c>
      <c r="BT36" s="9" t="n">
        <f aca="false">BT32+BT34+BT35</f>
        <v>36084.0261806815</v>
      </c>
      <c r="BU36" s="9" t="n">
        <f aca="false">BU32+BU34+BU35</f>
        <v>33108.0240214501</v>
      </c>
      <c r="BV36" s="9" t="n">
        <f aca="false">BV32+BV34+BV35</f>
        <v>30132.0218622186</v>
      </c>
      <c r="BW36" s="9" t="n">
        <f aca="false">BW32+BW34+BW35</f>
        <v>27156.0197029871</v>
      </c>
      <c r="BX36" s="9" t="n">
        <f aca="false">BX32+BX34+BX35</f>
        <v>24180.0175437557</v>
      </c>
      <c r="BY36" s="9" t="n">
        <f aca="false">BY32+BY34+BY35</f>
        <v>21204.0153845242</v>
      </c>
      <c r="BZ36" s="9" t="n">
        <f aca="false">BZ32+BZ34+BZ35</f>
        <v>18228.0132252927</v>
      </c>
      <c r="CA36" s="9" t="n">
        <f aca="false">CA32+CA34+CA35</f>
        <v>15252.0110660613</v>
      </c>
      <c r="CB36" s="9" t="n">
        <f aca="false">CB32+CB34+CB35</f>
        <v>12276.0089068298</v>
      </c>
      <c r="CC36" s="9" t="n">
        <f aca="false">CC32+CC34+CC35</f>
        <v>9300.00674759833</v>
      </c>
      <c r="CD36" s="9" t="n">
        <f aca="false">CD32+CD34+CD35</f>
        <v>6324.00458836687</v>
      </c>
      <c r="CE36" s="9" t="n">
        <f aca="false">CE32+CE34+CE35</f>
        <v>3348.0024291354</v>
      </c>
      <c r="CF36" s="9" t="n">
        <f aca="false">CF32+CF34+CF35</f>
        <v>372.000269903933</v>
      </c>
      <c r="CG36" s="9" t="n">
        <f aca="false">CG32+CG34+CG35</f>
        <v>0</v>
      </c>
      <c r="CH36" s="9" t="n">
        <f aca="false">CH32+CH34+CH35</f>
        <v>0</v>
      </c>
    </row>
    <row r="37" customFormat="false" ht="15" hidden="false" customHeight="false" outlineLevel="0" collapsed="false">
      <c r="A37" s="6" t="s">
        <v>179</v>
      </c>
      <c r="B37" s="2"/>
      <c r="C37" s="22" t="n">
        <f aca="false">0</f>
        <v>0</v>
      </c>
      <c r="D37" s="22" t="n">
        <f aca="false">C40</f>
        <v>425000</v>
      </c>
      <c r="E37" s="22" t="n">
        <f aca="false">D40</f>
        <v>350000</v>
      </c>
      <c r="F37" s="22" t="n">
        <f aca="false">E40</f>
        <v>775000</v>
      </c>
      <c r="G37" s="22" t="n">
        <f aca="false">F40</f>
        <v>700000</v>
      </c>
      <c r="H37" s="22" t="n">
        <f aca="false">G40</f>
        <v>962737.68</v>
      </c>
      <c r="I37" s="22" t="n">
        <f aca="false">H40</f>
        <v>2685475.36</v>
      </c>
      <c r="J37" s="22" t="n">
        <f aca="false">I40</f>
        <v>2996546.37333333</v>
      </c>
      <c r="K37" s="22" t="n">
        <f aca="false">J40</f>
        <v>2807617.38666667</v>
      </c>
      <c r="L37" s="22" t="n">
        <f aca="false">K40</f>
        <v>2545355.06666667</v>
      </c>
      <c r="M37" s="22" t="n">
        <f aca="false">L40</f>
        <v>2164110.3777553</v>
      </c>
      <c r="N37" s="22" t="n">
        <f aca="false">M40</f>
        <v>1785841.69100317</v>
      </c>
      <c r="O37" s="22" t="n">
        <f aca="false">N40</f>
        <v>1410549.00641026</v>
      </c>
      <c r="P37" s="22" t="n">
        <f aca="false">O40</f>
        <v>1038232.32397659</v>
      </c>
      <c r="Q37" s="22" t="n">
        <f aca="false">P40</f>
        <v>668891.643702154</v>
      </c>
      <c r="R37" s="22" t="n">
        <f aca="false">Q40</f>
        <v>538122.618920279</v>
      </c>
      <c r="S37" s="22" t="n">
        <f aca="false">R40</f>
        <v>410329.596297636</v>
      </c>
      <c r="T37" s="22" t="n">
        <f aca="false">S40</f>
        <v>285512.575834224</v>
      </c>
      <c r="U37" s="22" t="n">
        <f aca="false">T40</f>
        <v>2829496.55753004</v>
      </c>
      <c r="V37" s="22" t="n">
        <f aca="false">U40</f>
        <v>2737298.20805176</v>
      </c>
      <c r="W37" s="22" t="n">
        <f aca="false">V40</f>
        <v>2648075.86073271</v>
      </c>
      <c r="X37" s="22" t="n">
        <f aca="false">W40</f>
        <v>2351364.26688918</v>
      </c>
      <c r="Y37" s="22" t="n">
        <f aca="false">X40</f>
        <v>2268093.92388859</v>
      </c>
      <c r="Z37" s="22" t="n">
        <f aca="false">Y40</f>
        <v>2317261.12150877</v>
      </c>
      <c r="AA37" s="22" t="n">
        <f aca="false">Z40</f>
        <v>282727.62599436</v>
      </c>
      <c r="AB37" s="22" t="n">
        <f aca="false">AA40</f>
        <v>282727.62599436</v>
      </c>
      <c r="AC37" s="22" t="n">
        <f aca="false">AB40</f>
        <v>282727.62599436</v>
      </c>
      <c r="AD37" s="22" t="n">
        <f aca="false">AC40</f>
        <v>282727.62599436</v>
      </c>
      <c r="AE37" s="22" t="n">
        <f aca="false">AD40</f>
        <v>282727.62599436</v>
      </c>
      <c r="AF37" s="22" t="n">
        <f aca="false">AE40</f>
        <v>282727.62599436</v>
      </c>
      <c r="AG37" s="22" t="n">
        <f aca="false">AF40</f>
        <v>282727.62599436</v>
      </c>
      <c r="AH37" s="22" t="n">
        <f aca="false">AG40</f>
        <v>282727.62599436</v>
      </c>
      <c r="AI37" s="22" t="n">
        <f aca="false">AH40</f>
        <v>282727.62599436</v>
      </c>
      <c r="AJ37" s="22" t="n">
        <f aca="false">AI40</f>
        <v>282727.62599436</v>
      </c>
      <c r="AK37" s="22" t="n">
        <f aca="false">AJ40</f>
        <v>282727.62599436</v>
      </c>
      <c r="AL37" s="22" t="n">
        <f aca="false">AK40</f>
        <v>282727.62599436</v>
      </c>
      <c r="AM37" s="22" t="n">
        <f aca="false">AL40</f>
        <v>282727.62599436</v>
      </c>
      <c r="AN37" s="22" t="n">
        <f aca="false">AM40</f>
        <v>282727.62599436</v>
      </c>
      <c r="AO37" s="22" t="n">
        <f aca="false">AN40</f>
        <v>282727.62599436</v>
      </c>
      <c r="AP37" s="22" t="n">
        <f aca="false">AO40</f>
        <v>282727.62599436</v>
      </c>
      <c r="AQ37" s="22" t="n">
        <f aca="false">AP40</f>
        <v>282727.62599436</v>
      </c>
      <c r="AR37" s="22" t="n">
        <f aca="false">AQ40</f>
        <v>282727.62599436</v>
      </c>
      <c r="AS37" s="22" t="n">
        <f aca="false">AR40</f>
        <v>282727.62599436</v>
      </c>
      <c r="AT37" s="22" t="n">
        <f aca="false">AS40</f>
        <v>282727.62599436</v>
      </c>
      <c r="AU37" s="22" t="n">
        <f aca="false">AT40</f>
        <v>282727.62599436</v>
      </c>
      <c r="AV37" s="22" t="n">
        <f aca="false">AU40</f>
        <v>282727.62599436</v>
      </c>
      <c r="AW37" s="22" t="n">
        <f aca="false">AV40</f>
        <v>282727.62599436</v>
      </c>
      <c r="AX37" s="22" t="n">
        <f aca="false">AW40</f>
        <v>282727.62599436</v>
      </c>
      <c r="AY37" s="22" t="n">
        <f aca="false">AX40</f>
        <v>282727.62599436</v>
      </c>
      <c r="AZ37" s="22" t="n">
        <f aca="false">AY40</f>
        <v>282727.62599436</v>
      </c>
      <c r="BA37" s="22" t="n">
        <f aca="false">AZ40</f>
        <v>282727.62599436</v>
      </c>
      <c r="BB37" s="22" t="n">
        <f aca="false">BA40</f>
        <v>282727.62599436</v>
      </c>
      <c r="BC37" s="22" t="n">
        <f aca="false">BB40</f>
        <v>282727.62599436</v>
      </c>
      <c r="BD37" s="22" t="n">
        <f aca="false">BC40</f>
        <v>282727.62599436</v>
      </c>
      <c r="BE37" s="22" t="n">
        <f aca="false">BD40</f>
        <v>282727.62599436</v>
      </c>
      <c r="BF37" s="22" t="n">
        <f aca="false">BE40</f>
        <v>282727.62599436</v>
      </c>
      <c r="BG37" s="22" t="n">
        <f aca="false">BF40</f>
        <v>282727.62599436</v>
      </c>
      <c r="BH37" s="22" t="n">
        <f aca="false">BG40</f>
        <v>282727.62599436</v>
      </c>
      <c r="BI37" s="22" t="n">
        <f aca="false">BH40</f>
        <v>282727.62599436</v>
      </c>
      <c r="BJ37" s="22" t="n">
        <f aca="false">BI40</f>
        <v>282727.62599436</v>
      </c>
      <c r="BK37" s="22" t="n">
        <f aca="false">BJ40</f>
        <v>0</v>
      </c>
      <c r="BL37" s="22" t="n">
        <f aca="false">BK40</f>
        <v>0</v>
      </c>
      <c r="BM37" s="22" t="n">
        <f aca="false">BL40</f>
        <v>0</v>
      </c>
      <c r="BN37" s="22" t="n">
        <f aca="false">BM40</f>
        <v>0</v>
      </c>
      <c r="BO37" s="22" t="n">
        <f aca="false">BN40</f>
        <v>0</v>
      </c>
      <c r="BP37" s="22" t="n">
        <f aca="false">BO40</f>
        <v>0</v>
      </c>
      <c r="BQ37" s="22" t="n">
        <f aca="false">BP40</f>
        <v>0</v>
      </c>
      <c r="BR37" s="22" t="n">
        <f aca="false">BQ40</f>
        <v>0</v>
      </c>
      <c r="BS37" s="22" t="n">
        <f aca="false">BR40</f>
        <v>0</v>
      </c>
      <c r="BT37" s="22" t="n">
        <f aca="false">BS40</f>
        <v>0</v>
      </c>
      <c r="BU37" s="22" t="n">
        <f aca="false">BT40</f>
        <v>0</v>
      </c>
      <c r="BV37" s="22" t="n">
        <f aca="false">BU40</f>
        <v>0</v>
      </c>
      <c r="BW37" s="22" t="n">
        <f aca="false">BV40</f>
        <v>0</v>
      </c>
      <c r="BX37" s="22" t="n">
        <f aca="false">BW40</f>
        <v>0</v>
      </c>
      <c r="BY37" s="22" t="n">
        <f aca="false">BX40</f>
        <v>0</v>
      </c>
      <c r="BZ37" s="22" t="n">
        <f aca="false">BY40</f>
        <v>0</v>
      </c>
      <c r="CA37" s="22" t="n">
        <f aca="false">BZ40</f>
        <v>0</v>
      </c>
      <c r="CB37" s="22" t="n">
        <f aca="false">CA40</f>
        <v>0</v>
      </c>
      <c r="CC37" s="22" t="n">
        <f aca="false">CB40</f>
        <v>0</v>
      </c>
      <c r="CD37" s="22" t="n">
        <f aca="false">CC40</f>
        <v>0</v>
      </c>
      <c r="CE37" s="22" t="n">
        <f aca="false">CD40</f>
        <v>0</v>
      </c>
      <c r="CF37" s="22" t="n">
        <f aca="false">CE40</f>
        <v>0</v>
      </c>
      <c r="CG37" s="22" t="n">
        <f aca="false">CF40</f>
        <v>0</v>
      </c>
      <c r="CH37" s="22" t="n">
        <f aca="false">CG40</f>
        <v>0</v>
      </c>
    </row>
    <row r="38" customFormat="false" ht="15" hidden="false" customHeight="false" outlineLevel="0" collapsed="false">
      <c r="A38" s="6" t="s">
        <v>180</v>
      </c>
      <c r="B38" s="2"/>
      <c r="C38" s="22" t="n">
        <f aca="false">C37+C36</f>
        <v>425000</v>
      </c>
      <c r="D38" s="22" t="n">
        <f aca="false">D37+D36</f>
        <v>350000</v>
      </c>
      <c r="E38" s="22" t="n">
        <f aca="false">E37+E36</f>
        <v>775000</v>
      </c>
      <c r="F38" s="22" t="n">
        <f aca="false">F37+F36</f>
        <v>700000</v>
      </c>
      <c r="G38" s="22" t="n">
        <f aca="false">G37+G36</f>
        <v>962737.68</v>
      </c>
      <c r="H38" s="22" t="n">
        <f aca="false">H37+H36</f>
        <v>2685475.36</v>
      </c>
      <c r="I38" s="22" t="n">
        <f aca="false">I37+I36</f>
        <v>2996546.37333333</v>
      </c>
      <c r="J38" s="22" t="n">
        <f aca="false">J37+J36</f>
        <v>2807617.38666667</v>
      </c>
      <c r="K38" s="22" t="n">
        <f aca="false">K37+K36</f>
        <v>2545355.06666667</v>
      </c>
      <c r="L38" s="22" t="n">
        <f aca="false">L37+L36</f>
        <v>2164110.3777553</v>
      </c>
      <c r="M38" s="22" t="n">
        <f aca="false">M37+M36</f>
        <v>1785841.69100317</v>
      </c>
      <c r="N38" s="22" t="n">
        <f aca="false">N37+N36</f>
        <v>1410549.00641026</v>
      </c>
      <c r="O38" s="22" t="n">
        <f aca="false">O37+O36</f>
        <v>1038232.32397659</v>
      </c>
      <c r="P38" s="22" t="n">
        <f aca="false">P37+P36</f>
        <v>668891.643702154</v>
      </c>
      <c r="Q38" s="22" t="n">
        <f aca="false">Q37+Q36</f>
        <v>538122.618920279</v>
      </c>
      <c r="R38" s="22" t="n">
        <f aca="false">R37+R36</f>
        <v>410329.596297636</v>
      </c>
      <c r="S38" s="22" t="n">
        <f aca="false">S37+S36</f>
        <v>285512.575834224</v>
      </c>
      <c r="T38" s="22" t="n">
        <f aca="false">T37+T36</f>
        <v>2829496.55753004</v>
      </c>
      <c r="U38" s="22" t="n">
        <f aca="false">U37+U36</f>
        <v>2737298.20805176</v>
      </c>
      <c r="V38" s="22" t="n">
        <f aca="false">V37+V36</f>
        <v>2648075.86073271</v>
      </c>
      <c r="W38" s="22" t="n">
        <f aca="false">W37+W36</f>
        <v>2351364.26688918</v>
      </c>
      <c r="X38" s="22" t="n">
        <f aca="false">X37+X36</f>
        <v>2268093.92388859</v>
      </c>
      <c r="Y38" s="22" t="n">
        <f aca="false">Y37+Y36</f>
        <v>2317261.12150877</v>
      </c>
      <c r="Z38" s="22" t="n">
        <f aca="false">Z37+Z36</f>
        <v>3958054.32128819</v>
      </c>
      <c r="AA38" s="22" t="n">
        <f aca="false">AA37+AA36</f>
        <v>337846.827933005</v>
      </c>
      <c r="AB38" s="22" t="n">
        <f aca="false">AB37+AB36</f>
        <v>340822.830092237</v>
      </c>
      <c r="AC38" s="22" t="n">
        <f aca="false">AC37+AC36</f>
        <v>343798.832251468</v>
      </c>
      <c r="AD38" s="22" t="n">
        <f aca="false">AD37+AD36</f>
        <v>346774.8344107</v>
      </c>
      <c r="AE38" s="22" t="n">
        <f aca="false">AE37+AE36</f>
        <v>349750.836569931</v>
      </c>
      <c r="AF38" s="22" t="n">
        <f aca="false">AF37+AF36</f>
        <v>352726.838729162</v>
      </c>
      <c r="AG38" s="22" t="n">
        <f aca="false">AG37+AG36</f>
        <v>355702.840888394</v>
      </c>
      <c r="AH38" s="22" t="n">
        <f aca="false">AH37+AH36</f>
        <v>358678.843047625</v>
      </c>
      <c r="AI38" s="22" t="n">
        <f aca="false">AI37+AI36</f>
        <v>361654.845206857</v>
      </c>
      <c r="AJ38" s="22" t="n">
        <f aca="false">AJ37+AJ36</f>
        <v>364630.847366088</v>
      </c>
      <c r="AK38" s="22" t="n">
        <f aca="false">AK37+AK36</f>
        <v>367606.84952532</v>
      </c>
      <c r="AL38" s="22" t="n">
        <f aca="false">AL37+AL36</f>
        <v>370582.851684551</v>
      </c>
      <c r="AM38" s="22" t="n">
        <f aca="false">AM37+AM36</f>
        <v>373558.853843783</v>
      </c>
      <c r="AN38" s="22" t="n">
        <f aca="false">AN37+AN36</f>
        <v>376534.856003014</v>
      </c>
      <c r="AO38" s="22" t="n">
        <f aca="false">AO37+AO36</f>
        <v>379510.858162246</v>
      </c>
      <c r="AP38" s="22" t="n">
        <f aca="false">AP37+AP36</f>
        <v>382486.860321477</v>
      </c>
      <c r="AQ38" s="22" t="n">
        <f aca="false">AQ37+AQ36</f>
        <v>385462.862480709</v>
      </c>
      <c r="AR38" s="22" t="n">
        <f aca="false">AR37+AR36</f>
        <v>388438.86463994</v>
      </c>
      <c r="AS38" s="22" t="n">
        <f aca="false">AS37+AS36</f>
        <v>391414.866799172</v>
      </c>
      <c r="AT38" s="22" t="n">
        <f aca="false">AT37+AT36</f>
        <v>394390.868958403</v>
      </c>
      <c r="AU38" s="22" t="n">
        <f aca="false">AU37+AU36</f>
        <v>397366.871117634</v>
      </c>
      <c r="AV38" s="22" t="n">
        <f aca="false">AV37+AV36</f>
        <v>391173.599920465</v>
      </c>
      <c r="AW38" s="22" t="n">
        <f aca="false">AW37+AW36</f>
        <v>387259.701837365</v>
      </c>
      <c r="AX38" s="22" t="n">
        <f aca="false">AX37+AX36</f>
        <v>384283.699678134</v>
      </c>
      <c r="AY38" s="22" t="n">
        <f aca="false">AY37+AY36</f>
        <v>381307.697518902</v>
      </c>
      <c r="AZ38" s="22" t="n">
        <f aca="false">AZ37+AZ36</f>
        <v>378331.695359671</v>
      </c>
      <c r="BA38" s="22" t="n">
        <f aca="false">BA37+BA36</f>
        <v>375355.693200439</v>
      </c>
      <c r="BB38" s="22" t="n">
        <f aca="false">BB37+BB36</f>
        <v>372379.691041208</v>
      </c>
      <c r="BC38" s="22" t="n">
        <f aca="false">BC37+BC36</f>
        <v>369403.688881977</v>
      </c>
      <c r="BD38" s="22" t="n">
        <f aca="false">BD37+BD36</f>
        <v>366427.686722745</v>
      </c>
      <c r="BE38" s="22" t="n">
        <f aca="false">BE37+BE36</f>
        <v>363451.684563514</v>
      </c>
      <c r="BF38" s="22" t="n">
        <f aca="false">BF37+BF36</f>
        <v>360475.682404282</v>
      </c>
      <c r="BG38" s="22" t="n">
        <f aca="false">BG37+BG36</f>
        <v>357499.680245051</v>
      </c>
      <c r="BH38" s="22" t="n">
        <f aca="false">BH37+BH36</f>
        <v>354523.678085819</v>
      </c>
      <c r="BI38" s="22" t="n">
        <f aca="false">BI37+BI36</f>
        <v>351547.675926588</v>
      </c>
      <c r="BJ38" s="22" t="n">
        <f aca="false">BJ37+BJ36</f>
        <v>65844.0477729962</v>
      </c>
      <c r="BK38" s="22" t="n">
        <f aca="false">BK37+BK36</f>
        <v>62868.0456137647</v>
      </c>
      <c r="BL38" s="22" t="n">
        <f aca="false">BL37+BL36</f>
        <v>59892.0434545333</v>
      </c>
      <c r="BM38" s="22" t="n">
        <f aca="false">BM37+BM36</f>
        <v>56916.0412953018</v>
      </c>
      <c r="BN38" s="22" t="n">
        <f aca="false">BN37+BN36</f>
        <v>53940.0391360703</v>
      </c>
      <c r="BO38" s="22" t="n">
        <f aca="false">BO37+BO36</f>
        <v>50964.0369768389</v>
      </c>
      <c r="BP38" s="22" t="n">
        <f aca="false">BP37+BP36</f>
        <v>47988.0348176074</v>
      </c>
      <c r="BQ38" s="22" t="n">
        <f aca="false">BQ37+BQ36</f>
        <v>45012.0326583759</v>
      </c>
      <c r="BR38" s="22" t="n">
        <f aca="false">BR37+BR36</f>
        <v>42036.0304991445</v>
      </c>
      <c r="BS38" s="22" t="n">
        <f aca="false">BS37+BS36</f>
        <v>39060.028339913</v>
      </c>
      <c r="BT38" s="22" t="n">
        <f aca="false">BT37+BT36</f>
        <v>36084.0261806815</v>
      </c>
      <c r="BU38" s="22" t="n">
        <f aca="false">BU37+BU36</f>
        <v>33108.0240214501</v>
      </c>
      <c r="BV38" s="22" t="n">
        <f aca="false">BV37+BV36</f>
        <v>30132.0218622186</v>
      </c>
      <c r="BW38" s="22" t="n">
        <f aca="false">BW37+BW36</f>
        <v>27156.0197029871</v>
      </c>
      <c r="BX38" s="22" t="n">
        <f aca="false">BX37+BX36</f>
        <v>24180.0175437557</v>
      </c>
      <c r="BY38" s="22" t="n">
        <f aca="false">BY37+BY36</f>
        <v>21204.0153845242</v>
      </c>
      <c r="BZ38" s="22" t="n">
        <f aca="false">BZ37+BZ36</f>
        <v>18228.0132252927</v>
      </c>
      <c r="CA38" s="22" t="n">
        <f aca="false">CA37+CA36</f>
        <v>15252.0110660613</v>
      </c>
      <c r="CB38" s="22" t="n">
        <f aca="false">CB37+CB36</f>
        <v>12276.0089068298</v>
      </c>
      <c r="CC38" s="22" t="n">
        <f aca="false">CC37+CC36</f>
        <v>9300.00674759833</v>
      </c>
      <c r="CD38" s="22" t="n">
        <f aca="false">CD37+CD36</f>
        <v>6324.00458836687</v>
      </c>
      <c r="CE38" s="22" t="n">
        <f aca="false">CE37+CE36</f>
        <v>3348.0024291354</v>
      </c>
      <c r="CF38" s="22" t="n">
        <f aca="false">CF37+CF36</f>
        <v>372.000269903933</v>
      </c>
      <c r="CG38" s="22" t="n">
        <f aca="false">CG37+CG36</f>
        <v>0</v>
      </c>
      <c r="CH38" s="22" t="n">
        <f aca="false">CH37+CH36</f>
        <v>0</v>
      </c>
    </row>
    <row r="39" customFormat="false" ht="15" hidden="false" customHeight="false" outlineLevel="0" collapsed="false">
      <c r="A39" s="8" t="s">
        <v>181</v>
      </c>
      <c r="B39" s="9" t="n">
        <f aca="false">SUM(C39:CH39)</f>
        <v>7454509.73340245</v>
      </c>
      <c r="C39" s="9" t="n">
        <f aca="false">IF(C$3&gt;=Supuestos!$B$47,MAX(0,C38-IF(C$3&lt;Supuestos!$B$56,Resumen!$B$27,0)-IF(C$3&lt;Supuestos!$B$57,Resumen!$B$28,0)),0)</f>
        <v>0</v>
      </c>
      <c r="D39" s="9" t="n">
        <f aca="false">IF(D$3&gt;=Supuestos!$B$47,MAX(0,D38-IF(D$3&lt;Supuestos!$B$56,Resumen!$B$27,0)-IF(D$3&lt;Supuestos!$B$57,Resumen!$B$28,0)),0)</f>
        <v>0</v>
      </c>
      <c r="E39" s="9" t="n">
        <f aca="false">IF(E$3&gt;=Supuestos!$B$47,MAX(0,E38-IF(E$3&lt;Supuestos!$B$56,Resumen!$B$27,0)-IF(E$3&lt;Supuestos!$B$57,Resumen!$B$28,0)),0)</f>
        <v>0</v>
      </c>
      <c r="F39" s="9" t="n">
        <f aca="false">IF(F$3&gt;=Supuestos!$B$47,MAX(0,F38-IF(F$3&lt;Supuestos!$B$56,Resumen!$B$27,0)-IF(F$3&lt;Supuestos!$B$57,Resumen!$B$28,0)),0)</f>
        <v>0</v>
      </c>
      <c r="G39" s="9" t="n">
        <f aca="false">IF(G$3&gt;=Supuestos!$B$47,MAX(0,G38-IF(G$3&lt;Supuestos!$B$56,Resumen!$B$27,0)-IF(G$3&lt;Supuestos!$B$57,Resumen!$B$28,0)),0)</f>
        <v>0</v>
      </c>
      <c r="H39" s="9" t="n">
        <f aca="false">IF(H$3&gt;=Supuestos!$B$47,MAX(0,H38-IF(H$3&lt;Supuestos!$B$56,Resumen!$B$27,0)-IF(H$3&lt;Supuestos!$B$57,Resumen!$B$28,0)),0)</f>
        <v>0</v>
      </c>
      <c r="I39" s="9" t="n">
        <f aca="false">IF(I$3&gt;=Supuestos!$B$47,MAX(0,I38-IF(I$3&lt;Supuestos!$B$56,Resumen!$B$27,0)-IF(I$3&lt;Supuestos!$B$57,Resumen!$B$28,0)),0)</f>
        <v>0</v>
      </c>
      <c r="J39" s="9" t="n">
        <f aca="false">IF(J$3&gt;=Supuestos!$B$47,MAX(0,J38-IF(J$3&lt;Supuestos!$B$56,Resumen!$B$27,0)-IF(J$3&lt;Supuestos!$B$57,Resumen!$B$28,0)),0)</f>
        <v>0</v>
      </c>
      <c r="K39" s="9" t="n">
        <f aca="false">IF(K$3&gt;=Supuestos!$B$47,MAX(0,K38-IF(K$3&lt;Supuestos!$B$56,Resumen!$B$27,0)-IF(K$3&lt;Supuestos!$B$57,Resumen!$B$28,0)),0)</f>
        <v>0</v>
      </c>
      <c r="L39" s="9" t="n">
        <f aca="false">IF(L$3&gt;=Supuestos!$B$47,MAX(0,L38-IF(L$3&lt;Supuestos!$B$56,Resumen!$B$27,0)-IF(L$3&lt;Supuestos!$B$57,Resumen!$B$28,0)),0)</f>
        <v>0</v>
      </c>
      <c r="M39" s="9" t="n">
        <f aca="false">IF(M$3&gt;=Supuestos!$B$47,MAX(0,M38-IF(M$3&lt;Supuestos!$B$56,Resumen!$B$27,0)-IF(M$3&lt;Supuestos!$B$57,Resumen!$B$28,0)),0)</f>
        <v>0</v>
      </c>
      <c r="N39" s="9" t="n">
        <f aca="false">IF(N$3&gt;=Supuestos!$B$47,MAX(0,N38-IF(N$3&lt;Supuestos!$B$56,Resumen!$B$27,0)-IF(N$3&lt;Supuestos!$B$57,Resumen!$B$28,0)),0)</f>
        <v>0</v>
      </c>
      <c r="O39" s="9" t="n">
        <f aca="false">IF(O$3&gt;=Supuestos!$B$47,MAX(0,O38-IF(O$3&lt;Supuestos!$B$56,Resumen!$B$27,0)-IF(O$3&lt;Supuestos!$B$57,Resumen!$B$28,0)),0)</f>
        <v>0</v>
      </c>
      <c r="P39" s="9" t="n">
        <f aca="false">IF(P$3&gt;=Supuestos!$B$47,MAX(0,P38-IF(P$3&lt;Supuestos!$B$56,Resumen!$B$27,0)-IF(P$3&lt;Supuestos!$B$57,Resumen!$B$28,0)),0)</f>
        <v>0</v>
      </c>
      <c r="Q39" s="9" t="n">
        <f aca="false">IF(Q$3&gt;=Supuestos!$B$47,MAX(0,Q38-IF(Q$3&lt;Supuestos!$B$56,Resumen!$B$27,0)-IF(Q$3&lt;Supuestos!$B$57,Resumen!$B$28,0)),0)</f>
        <v>0</v>
      </c>
      <c r="R39" s="9" t="n">
        <f aca="false">IF(R$3&gt;=Supuestos!$B$47,MAX(0,R38-IF(R$3&lt;Supuestos!$B$56,Resumen!$B$27,0)-IF(R$3&lt;Supuestos!$B$57,Resumen!$B$28,0)),0)</f>
        <v>0</v>
      </c>
      <c r="S39" s="9" t="n">
        <f aca="false">IF(S$3&gt;=Supuestos!$B$47,MAX(0,S38-IF(S$3&lt;Supuestos!$B$56,Resumen!$B$27,0)-IF(S$3&lt;Supuestos!$B$57,Resumen!$B$28,0)),0)</f>
        <v>0</v>
      </c>
      <c r="T39" s="9" t="n">
        <f aca="false">IF(T$3&gt;=Supuestos!$B$47,MAX(0,T38-IF(T$3&lt;Supuestos!$B$56,Resumen!$B$27,0)-IF(T$3&lt;Supuestos!$B$57,Resumen!$B$28,0)),0)</f>
        <v>0</v>
      </c>
      <c r="U39" s="9" t="n">
        <f aca="false">IF(U$3&gt;=Supuestos!$B$47,MAX(0,U38-IF(U$3&lt;Supuestos!$B$56,Resumen!$B$27,0)-IF(U$3&lt;Supuestos!$B$57,Resumen!$B$28,0)),0)</f>
        <v>0</v>
      </c>
      <c r="V39" s="9" t="n">
        <f aca="false">IF(V$3&gt;=Supuestos!$B$47,MAX(0,V38-IF(V$3&lt;Supuestos!$B$56,Resumen!$B$27,0)-IF(V$3&lt;Supuestos!$B$57,Resumen!$B$28,0)),0)</f>
        <v>0</v>
      </c>
      <c r="W39" s="9" t="n">
        <f aca="false">IF(W$3&gt;=Supuestos!$B$47,MAX(0,W38-IF(W$3&lt;Supuestos!$B$56,Resumen!$B$27,0)-IF(W$3&lt;Supuestos!$B$57,Resumen!$B$28,0)),0)</f>
        <v>0</v>
      </c>
      <c r="X39" s="9" t="n">
        <f aca="false">IF(X$3&gt;=Supuestos!$B$47,MAX(0,X38-IF(X$3&lt;Supuestos!$B$56,Resumen!$B$27,0)-IF(X$3&lt;Supuestos!$B$57,Resumen!$B$28,0)),0)</f>
        <v>0</v>
      </c>
      <c r="Y39" s="9" t="n">
        <f aca="false">IF(Y$3&gt;=Supuestos!$B$47,MAX(0,Y38-IF(Y$3&lt;Supuestos!$B$56,Resumen!$B$27,0)-IF(Y$3&lt;Supuestos!$B$57,Resumen!$B$28,0)),0)</f>
        <v>0</v>
      </c>
      <c r="Z39" s="9" t="n">
        <f aca="false">IF(Z$3&gt;=Supuestos!$B$47,MAX(0,Z38-IF(Z$3&lt;Supuestos!$B$56,Resumen!$B$27,0)-IF(Z$3&lt;Supuestos!$B$57,Resumen!$B$28,0)),0)</f>
        <v>3675326.69529383</v>
      </c>
      <c r="AA39" s="9" t="n">
        <f aca="false">IF(AA$3&gt;=Supuestos!$B$47,MAX(0,AA38-IF(AA$3&lt;Supuestos!$B$56,Resumen!$B$27,0)-IF(AA$3&lt;Supuestos!$B$57,Resumen!$B$28,0)),0)</f>
        <v>55119.201938645</v>
      </c>
      <c r="AB39" s="9" t="n">
        <f aca="false">IF(AB$3&gt;=Supuestos!$B$47,MAX(0,AB38-IF(AB$3&lt;Supuestos!$B$56,Resumen!$B$27,0)-IF(AB$3&lt;Supuestos!$B$57,Resumen!$B$28,0)),0)</f>
        <v>58095.2040978764</v>
      </c>
      <c r="AC39" s="9" t="n">
        <f aca="false">IF(AC$3&gt;=Supuestos!$B$47,MAX(0,AC38-IF(AC$3&lt;Supuestos!$B$56,Resumen!$B$27,0)-IF(AC$3&lt;Supuestos!$B$57,Resumen!$B$28,0)),0)</f>
        <v>61071.206257108</v>
      </c>
      <c r="AD39" s="9" t="n">
        <f aca="false">IF(AD$3&gt;=Supuestos!$B$47,MAX(0,AD38-IF(AD$3&lt;Supuestos!$B$56,Resumen!$B$27,0)-IF(AD$3&lt;Supuestos!$B$57,Resumen!$B$28,0)),0)</f>
        <v>64047.2084163394</v>
      </c>
      <c r="AE39" s="9" t="n">
        <f aca="false">IF(AE$3&gt;=Supuestos!$B$47,MAX(0,AE38-IF(AE$3&lt;Supuestos!$B$56,Resumen!$B$27,0)-IF(AE$3&lt;Supuestos!$B$57,Resumen!$B$28,0)),0)</f>
        <v>67023.2105755709</v>
      </c>
      <c r="AF39" s="9" t="n">
        <f aca="false">IF(AF$3&gt;=Supuestos!$B$47,MAX(0,AF38-IF(AF$3&lt;Supuestos!$B$56,Resumen!$B$27,0)-IF(AF$3&lt;Supuestos!$B$57,Resumen!$B$28,0)),0)</f>
        <v>69999.2127348023</v>
      </c>
      <c r="AG39" s="9" t="n">
        <f aca="false">IF(AG$3&gt;=Supuestos!$B$47,MAX(0,AG38-IF(AG$3&lt;Supuestos!$B$56,Resumen!$B$27,0)-IF(AG$3&lt;Supuestos!$B$57,Resumen!$B$28,0)),0)</f>
        <v>72975.2148940339</v>
      </c>
      <c r="AH39" s="9" t="n">
        <f aca="false">IF(AH$3&gt;=Supuestos!$B$47,MAX(0,AH38-IF(AH$3&lt;Supuestos!$B$56,Resumen!$B$27,0)-IF(AH$3&lt;Supuestos!$B$57,Resumen!$B$28,0)),0)</f>
        <v>75951.2170532653</v>
      </c>
      <c r="AI39" s="9" t="n">
        <f aca="false">IF(AI$3&gt;=Supuestos!$B$47,MAX(0,AI38-IF(AI$3&lt;Supuestos!$B$56,Resumen!$B$27,0)-IF(AI$3&lt;Supuestos!$B$57,Resumen!$B$28,0)),0)</f>
        <v>78927.2192124968</v>
      </c>
      <c r="AJ39" s="9" t="n">
        <f aca="false">IF(AJ$3&gt;=Supuestos!$B$47,MAX(0,AJ38-IF(AJ$3&lt;Supuestos!$B$56,Resumen!$B$27,0)-IF(AJ$3&lt;Supuestos!$B$57,Resumen!$B$28,0)),0)</f>
        <v>81903.2213717282</v>
      </c>
      <c r="AK39" s="9" t="n">
        <f aca="false">IF(AK$3&gt;=Supuestos!$B$47,MAX(0,AK38-IF(AK$3&lt;Supuestos!$B$56,Resumen!$B$27,0)-IF(AK$3&lt;Supuestos!$B$57,Resumen!$B$28,0)),0)</f>
        <v>84879.2235309597</v>
      </c>
      <c r="AL39" s="9" t="n">
        <f aca="false">IF(AL$3&gt;=Supuestos!$B$47,MAX(0,AL38-IF(AL$3&lt;Supuestos!$B$56,Resumen!$B$27,0)-IF(AL$3&lt;Supuestos!$B$57,Resumen!$B$28,0)),0)</f>
        <v>87855.2256901912</v>
      </c>
      <c r="AM39" s="9" t="n">
        <f aca="false">IF(AM$3&gt;=Supuestos!$B$47,MAX(0,AM38-IF(AM$3&lt;Supuestos!$B$56,Resumen!$B$27,0)-IF(AM$3&lt;Supuestos!$B$57,Resumen!$B$28,0)),0)</f>
        <v>90831.2278494226</v>
      </c>
      <c r="AN39" s="9" t="n">
        <f aca="false">IF(AN$3&gt;=Supuestos!$B$47,MAX(0,AN38-IF(AN$3&lt;Supuestos!$B$56,Resumen!$B$27,0)-IF(AN$3&lt;Supuestos!$B$57,Resumen!$B$28,0)),0)</f>
        <v>93807.2300086541</v>
      </c>
      <c r="AO39" s="9" t="n">
        <f aca="false">IF(AO$3&gt;=Supuestos!$B$47,MAX(0,AO38-IF(AO$3&lt;Supuestos!$B$56,Resumen!$B$27,0)-IF(AO$3&lt;Supuestos!$B$57,Resumen!$B$28,0)),0)</f>
        <v>96783.2321678855</v>
      </c>
      <c r="AP39" s="9" t="n">
        <f aca="false">IF(AP$3&gt;=Supuestos!$B$47,MAX(0,AP38-IF(AP$3&lt;Supuestos!$B$56,Resumen!$B$27,0)-IF(AP$3&lt;Supuestos!$B$57,Resumen!$B$28,0)),0)</f>
        <v>99759.234327117</v>
      </c>
      <c r="AQ39" s="9" t="n">
        <f aca="false">IF(AQ$3&gt;=Supuestos!$B$47,MAX(0,AQ38-IF(AQ$3&lt;Supuestos!$B$56,Resumen!$B$27,0)-IF(AQ$3&lt;Supuestos!$B$57,Resumen!$B$28,0)),0)</f>
        <v>102735.236486349</v>
      </c>
      <c r="AR39" s="9" t="n">
        <f aca="false">IF(AR$3&gt;=Supuestos!$B$47,MAX(0,AR38-IF(AR$3&lt;Supuestos!$B$56,Resumen!$B$27,0)-IF(AR$3&lt;Supuestos!$B$57,Resumen!$B$28,0)),0)</f>
        <v>105711.23864558</v>
      </c>
      <c r="AS39" s="9" t="n">
        <f aca="false">IF(AS$3&gt;=Supuestos!$B$47,MAX(0,AS38-IF(AS$3&lt;Supuestos!$B$56,Resumen!$B$27,0)-IF(AS$3&lt;Supuestos!$B$57,Resumen!$B$28,0)),0)</f>
        <v>108687.240804811</v>
      </c>
      <c r="AT39" s="9" t="n">
        <f aca="false">IF(AT$3&gt;=Supuestos!$B$47,MAX(0,AT38-IF(AT$3&lt;Supuestos!$B$56,Resumen!$B$27,0)-IF(AT$3&lt;Supuestos!$B$57,Resumen!$B$28,0)),0)</f>
        <v>111663.242964043</v>
      </c>
      <c r="AU39" s="9" t="n">
        <f aca="false">IF(AU$3&gt;=Supuestos!$B$47,MAX(0,AU38-IF(AU$3&lt;Supuestos!$B$56,Resumen!$B$27,0)-IF(AU$3&lt;Supuestos!$B$57,Resumen!$B$28,0)),0)</f>
        <v>114639.245123274</v>
      </c>
      <c r="AV39" s="9" t="n">
        <f aca="false">IF(AV$3&gt;=Supuestos!$B$47,MAX(0,AV38-IF(AV$3&lt;Supuestos!$B$56,Resumen!$B$27,0)-IF(AV$3&lt;Supuestos!$B$57,Resumen!$B$28,0)),0)</f>
        <v>108445.973926104</v>
      </c>
      <c r="AW39" s="9" t="n">
        <f aca="false">IF(AW$3&gt;=Supuestos!$B$47,MAX(0,AW38-IF(AW$3&lt;Supuestos!$B$56,Resumen!$B$27,0)-IF(AW$3&lt;Supuestos!$B$57,Resumen!$B$28,0)),0)</f>
        <v>104532.075843005</v>
      </c>
      <c r="AX39" s="9" t="n">
        <f aca="false">IF(AX$3&gt;=Supuestos!$B$47,MAX(0,AX38-IF(AX$3&lt;Supuestos!$B$56,Resumen!$B$27,0)-IF(AX$3&lt;Supuestos!$B$57,Resumen!$B$28,0)),0)</f>
        <v>101556.073683774</v>
      </c>
      <c r="AY39" s="9" t="n">
        <f aca="false">IF(AY$3&gt;=Supuestos!$B$47,MAX(0,AY38-IF(AY$3&lt;Supuestos!$B$56,Resumen!$B$27,0)-IF(AY$3&lt;Supuestos!$B$57,Resumen!$B$28,0)),0)</f>
        <v>98580.0715245424</v>
      </c>
      <c r="AZ39" s="9" t="n">
        <f aca="false">IF(AZ$3&gt;=Supuestos!$B$47,MAX(0,AZ38-IF(AZ$3&lt;Supuestos!$B$56,Resumen!$B$27,0)-IF(AZ$3&lt;Supuestos!$B$57,Resumen!$B$28,0)),0)</f>
        <v>95604.0693653108</v>
      </c>
      <c r="BA39" s="9" t="n">
        <f aca="false">IF(BA$3&gt;=Supuestos!$B$47,MAX(0,BA38-IF(BA$3&lt;Supuestos!$B$56,Resumen!$B$27,0)-IF(BA$3&lt;Supuestos!$B$57,Resumen!$B$28,0)),0)</f>
        <v>92628.0672060794</v>
      </c>
      <c r="BB39" s="9" t="n">
        <f aca="false">IF(BB$3&gt;=Supuestos!$B$47,MAX(0,BB38-IF(BB$3&lt;Supuestos!$B$56,Resumen!$B$27,0)-IF(BB$3&lt;Supuestos!$B$57,Resumen!$B$28,0)),0)</f>
        <v>89652.0650468479</v>
      </c>
      <c r="BC39" s="9" t="n">
        <f aca="false">IF(BC$3&gt;=Supuestos!$B$47,MAX(0,BC38-IF(BC$3&lt;Supuestos!$B$56,Resumen!$B$27,0)-IF(BC$3&lt;Supuestos!$B$57,Resumen!$B$28,0)),0)</f>
        <v>86676.0628876165</v>
      </c>
      <c r="BD39" s="9" t="n">
        <f aca="false">IF(BD$3&gt;=Supuestos!$B$47,MAX(0,BD38-IF(BD$3&lt;Supuestos!$B$56,Resumen!$B$27,0)-IF(BD$3&lt;Supuestos!$B$57,Resumen!$B$28,0)),0)</f>
        <v>83700.060728385</v>
      </c>
      <c r="BE39" s="9" t="n">
        <f aca="false">IF(BE$3&gt;=Supuestos!$B$47,MAX(0,BE38-IF(BE$3&lt;Supuestos!$B$56,Resumen!$B$27,0)-IF(BE$3&lt;Supuestos!$B$57,Resumen!$B$28,0)),0)</f>
        <v>80724.0585691535</v>
      </c>
      <c r="BF39" s="9" t="n">
        <f aca="false">IF(BF$3&gt;=Supuestos!$B$47,MAX(0,BF38-IF(BF$3&lt;Supuestos!$B$56,Resumen!$B$27,0)-IF(BF$3&lt;Supuestos!$B$57,Resumen!$B$28,0)),0)</f>
        <v>77748.0564099221</v>
      </c>
      <c r="BG39" s="9" t="n">
        <f aca="false">IF(BG$3&gt;=Supuestos!$B$47,MAX(0,BG38-IF(BG$3&lt;Supuestos!$B$56,Resumen!$B$27,0)-IF(BG$3&lt;Supuestos!$B$57,Resumen!$B$28,0)),0)</f>
        <v>74772.0542506906</v>
      </c>
      <c r="BH39" s="9" t="n">
        <f aca="false">IF(BH$3&gt;=Supuestos!$B$47,MAX(0,BH38-IF(BH$3&lt;Supuestos!$B$56,Resumen!$B$27,0)-IF(BH$3&lt;Supuestos!$B$57,Resumen!$B$28,0)),0)</f>
        <v>71796.0520914592</v>
      </c>
      <c r="BI39" s="9" t="n">
        <f aca="false">IF(BI$3&gt;=Supuestos!$B$47,MAX(0,BI38-IF(BI$3&lt;Supuestos!$B$56,Resumen!$B$27,0)-IF(BI$3&lt;Supuestos!$B$57,Resumen!$B$28,0)),0)</f>
        <v>68820.0499322276</v>
      </c>
      <c r="BJ39" s="9" t="n">
        <f aca="false">IF(BJ$3&gt;=Supuestos!$B$47,MAX(0,BJ38-IF(BJ$3&lt;Supuestos!$B$56,Resumen!$B$27,0)-IF(BJ$3&lt;Supuestos!$B$57,Resumen!$B$28,0)),0)</f>
        <v>65844.0477729962</v>
      </c>
      <c r="BK39" s="9" t="n">
        <f aca="false">IF(BK$3&gt;=Supuestos!$B$47,MAX(0,BK38-IF(BK$3&lt;Supuestos!$B$56,Resumen!$B$27,0)-IF(BK$3&lt;Supuestos!$B$57,Resumen!$B$28,0)),0)</f>
        <v>62868.0456137647</v>
      </c>
      <c r="BL39" s="9" t="n">
        <f aca="false">IF(BL$3&gt;=Supuestos!$B$47,MAX(0,BL38-IF(BL$3&lt;Supuestos!$B$56,Resumen!$B$27,0)-IF(BL$3&lt;Supuestos!$B$57,Resumen!$B$28,0)),0)</f>
        <v>59892.0434545333</v>
      </c>
      <c r="BM39" s="9" t="n">
        <f aca="false">IF(BM$3&gt;=Supuestos!$B$47,MAX(0,BM38-IF(BM$3&lt;Supuestos!$B$56,Resumen!$B$27,0)-IF(BM$3&lt;Supuestos!$B$57,Resumen!$B$28,0)),0)</f>
        <v>56916.0412953018</v>
      </c>
      <c r="BN39" s="9" t="n">
        <f aca="false">IF(BN$3&gt;=Supuestos!$B$47,MAX(0,BN38-IF(BN$3&lt;Supuestos!$B$56,Resumen!$B$27,0)-IF(BN$3&lt;Supuestos!$B$57,Resumen!$B$28,0)),0)</f>
        <v>53940.0391360703</v>
      </c>
      <c r="BO39" s="9" t="n">
        <f aca="false">IF(BO$3&gt;=Supuestos!$B$47,MAX(0,BO38-IF(BO$3&lt;Supuestos!$B$56,Resumen!$B$27,0)-IF(BO$3&lt;Supuestos!$B$57,Resumen!$B$28,0)),0)</f>
        <v>50964.0369768389</v>
      </c>
      <c r="BP39" s="9" t="n">
        <f aca="false">IF(BP$3&gt;=Supuestos!$B$47,MAX(0,BP38-IF(BP$3&lt;Supuestos!$B$56,Resumen!$B$27,0)-IF(BP$3&lt;Supuestos!$B$57,Resumen!$B$28,0)),0)</f>
        <v>47988.0348176074</v>
      </c>
      <c r="BQ39" s="9" t="n">
        <f aca="false">IF(BQ$3&gt;=Supuestos!$B$47,MAX(0,BQ38-IF(BQ$3&lt;Supuestos!$B$56,Resumen!$B$27,0)-IF(BQ$3&lt;Supuestos!$B$57,Resumen!$B$28,0)),0)</f>
        <v>45012.0326583759</v>
      </c>
      <c r="BR39" s="9" t="n">
        <f aca="false">IF(BR$3&gt;=Supuestos!$B$47,MAX(0,BR38-IF(BR$3&lt;Supuestos!$B$56,Resumen!$B$27,0)-IF(BR$3&lt;Supuestos!$B$57,Resumen!$B$28,0)),0)</f>
        <v>42036.0304991445</v>
      </c>
      <c r="BS39" s="9" t="n">
        <f aca="false">IF(BS$3&gt;=Supuestos!$B$47,MAX(0,BS38-IF(BS$3&lt;Supuestos!$B$56,Resumen!$B$27,0)-IF(BS$3&lt;Supuestos!$B$57,Resumen!$B$28,0)),0)</f>
        <v>39060.028339913</v>
      </c>
      <c r="BT39" s="9" t="n">
        <f aca="false">IF(BT$3&gt;=Supuestos!$B$47,MAX(0,BT38-IF(BT$3&lt;Supuestos!$B$56,Resumen!$B$27,0)-IF(BT$3&lt;Supuestos!$B$57,Resumen!$B$28,0)),0)</f>
        <v>36084.0261806815</v>
      </c>
      <c r="BU39" s="9" t="n">
        <f aca="false">IF(BU$3&gt;=Supuestos!$B$47,MAX(0,BU38-IF(BU$3&lt;Supuestos!$B$56,Resumen!$B$27,0)-IF(BU$3&lt;Supuestos!$B$57,Resumen!$B$28,0)),0)</f>
        <v>33108.0240214501</v>
      </c>
      <c r="BV39" s="9" t="n">
        <f aca="false">IF(BV$3&gt;=Supuestos!$B$47,MAX(0,BV38-IF(BV$3&lt;Supuestos!$B$56,Resumen!$B$27,0)-IF(BV$3&lt;Supuestos!$B$57,Resumen!$B$28,0)),0)</f>
        <v>30132.0218622186</v>
      </c>
      <c r="BW39" s="9" t="n">
        <f aca="false">IF(BW$3&gt;=Supuestos!$B$47,MAX(0,BW38-IF(BW$3&lt;Supuestos!$B$56,Resumen!$B$27,0)-IF(BW$3&lt;Supuestos!$B$57,Resumen!$B$28,0)),0)</f>
        <v>27156.0197029871</v>
      </c>
      <c r="BX39" s="9" t="n">
        <f aca="false">IF(BX$3&gt;=Supuestos!$B$47,MAX(0,BX38-IF(BX$3&lt;Supuestos!$B$56,Resumen!$B$27,0)-IF(BX$3&lt;Supuestos!$B$57,Resumen!$B$28,0)),0)</f>
        <v>24180.0175437557</v>
      </c>
      <c r="BY39" s="9" t="n">
        <f aca="false">IF(BY$3&gt;=Supuestos!$B$47,MAX(0,BY38-IF(BY$3&lt;Supuestos!$B$56,Resumen!$B$27,0)-IF(BY$3&lt;Supuestos!$B$57,Resumen!$B$28,0)),0)</f>
        <v>21204.0153845242</v>
      </c>
      <c r="BZ39" s="9" t="n">
        <f aca="false">IF(BZ$3&gt;=Supuestos!$B$47,MAX(0,BZ38-IF(BZ$3&lt;Supuestos!$B$56,Resumen!$B$27,0)-IF(BZ$3&lt;Supuestos!$B$57,Resumen!$B$28,0)),0)</f>
        <v>18228.0132252927</v>
      </c>
      <c r="CA39" s="9" t="n">
        <f aca="false">IF(CA$3&gt;=Supuestos!$B$47,MAX(0,CA38-IF(CA$3&lt;Supuestos!$B$56,Resumen!$B$27,0)-IF(CA$3&lt;Supuestos!$B$57,Resumen!$B$28,0)),0)</f>
        <v>15252.0110660613</v>
      </c>
      <c r="CB39" s="9" t="n">
        <f aca="false">IF(CB$3&gt;=Supuestos!$B$47,MAX(0,CB38-IF(CB$3&lt;Supuestos!$B$56,Resumen!$B$27,0)-IF(CB$3&lt;Supuestos!$B$57,Resumen!$B$28,0)),0)</f>
        <v>12276.0089068298</v>
      </c>
      <c r="CC39" s="9" t="n">
        <f aca="false">IF(CC$3&gt;=Supuestos!$B$47,MAX(0,CC38-IF(CC$3&lt;Supuestos!$B$56,Resumen!$B$27,0)-IF(CC$3&lt;Supuestos!$B$57,Resumen!$B$28,0)),0)</f>
        <v>9300.00674759833</v>
      </c>
      <c r="CD39" s="9" t="n">
        <f aca="false">IF(CD$3&gt;=Supuestos!$B$47,MAX(0,CD38-IF(CD$3&lt;Supuestos!$B$56,Resumen!$B$27,0)-IF(CD$3&lt;Supuestos!$B$57,Resumen!$B$28,0)),0)</f>
        <v>6324.00458836687</v>
      </c>
      <c r="CE39" s="9" t="n">
        <f aca="false">IF(CE$3&gt;=Supuestos!$B$47,MAX(0,CE38-IF(CE$3&lt;Supuestos!$B$56,Resumen!$B$27,0)-IF(CE$3&lt;Supuestos!$B$57,Resumen!$B$28,0)),0)</f>
        <v>3348.0024291354</v>
      </c>
      <c r="CF39" s="9" t="n">
        <f aca="false">IF(CF$3&gt;=Supuestos!$B$47,MAX(0,CF38-IF(CF$3&lt;Supuestos!$B$56,Resumen!$B$27,0)-IF(CF$3&lt;Supuestos!$B$57,Resumen!$B$28,0)),0)</f>
        <v>372.000269903933</v>
      </c>
      <c r="CG39" s="9" t="n">
        <f aca="false">IF(CG$3&gt;=Supuestos!$B$47,MAX(0,CG38-IF(CG$3&lt;Supuestos!$B$56,Resumen!$B$27,0)-IF(CG$3&lt;Supuestos!$B$57,Resumen!$B$28,0)),0)</f>
        <v>0</v>
      </c>
      <c r="CH39" s="9" t="n">
        <f aca="false">IF(CH$3&gt;=Supuestos!$B$47,MAX(0,CH38-IF(CH$3&lt;Supuestos!$B$56,Resumen!$B$27,0)-IF(CH$3&lt;Supuestos!$B$57,Resumen!$B$28,0)),0)</f>
        <v>0</v>
      </c>
    </row>
    <row r="40" customFormat="false" ht="15" hidden="false" customHeight="false" outlineLevel="0" collapsed="false">
      <c r="A40" s="6" t="s">
        <v>182</v>
      </c>
      <c r="B40" s="2"/>
      <c r="C40" s="22" t="n">
        <f aca="false">C38-C39</f>
        <v>425000</v>
      </c>
      <c r="D40" s="22" t="n">
        <f aca="false">D38-D39</f>
        <v>350000</v>
      </c>
      <c r="E40" s="22" t="n">
        <f aca="false">E38-E39</f>
        <v>775000</v>
      </c>
      <c r="F40" s="22" t="n">
        <f aca="false">F38-F39</f>
        <v>700000</v>
      </c>
      <c r="G40" s="22" t="n">
        <f aca="false">G38-G39</f>
        <v>962737.68</v>
      </c>
      <c r="H40" s="22" t="n">
        <f aca="false">H38-H39</f>
        <v>2685475.36</v>
      </c>
      <c r="I40" s="22" t="n">
        <f aca="false">I38-I39</f>
        <v>2996546.37333333</v>
      </c>
      <c r="J40" s="22" t="n">
        <f aca="false">J38-J39</f>
        <v>2807617.38666667</v>
      </c>
      <c r="K40" s="22" t="n">
        <f aca="false">K38-K39</f>
        <v>2545355.06666667</v>
      </c>
      <c r="L40" s="22" t="n">
        <f aca="false">L38-L39</f>
        <v>2164110.3777553</v>
      </c>
      <c r="M40" s="22" t="n">
        <f aca="false">M38-M39</f>
        <v>1785841.69100317</v>
      </c>
      <c r="N40" s="22" t="n">
        <f aca="false">N38-N39</f>
        <v>1410549.00641026</v>
      </c>
      <c r="O40" s="22" t="n">
        <f aca="false">O38-O39</f>
        <v>1038232.32397659</v>
      </c>
      <c r="P40" s="22" t="n">
        <f aca="false">P38-P39</f>
        <v>668891.643702154</v>
      </c>
      <c r="Q40" s="22" t="n">
        <f aca="false">Q38-Q39</f>
        <v>538122.618920279</v>
      </c>
      <c r="R40" s="22" t="n">
        <f aca="false">R38-R39</f>
        <v>410329.596297636</v>
      </c>
      <c r="S40" s="22" t="n">
        <f aca="false">S38-S39</f>
        <v>285512.575834224</v>
      </c>
      <c r="T40" s="22" t="n">
        <f aca="false">T38-T39</f>
        <v>2829496.55753004</v>
      </c>
      <c r="U40" s="22" t="n">
        <f aca="false">U38-U39</f>
        <v>2737298.20805176</v>
      </c>
      <c r="V40" s="22" t="n">
        <f aca="false">V38-V39</f>
        <v>2648075.86073271</v>
      </c>
      <c r="W40" s="22" t="n">
        <f aca="false">W38-W39</f>
        <v>2351364.26688918</v>
      </c>
      <c r="X40" s="22" t="n">
        <f aca="false">X38-X39</f>
        <v>2268093.92388859</v>
      </c>
      <c r="Y40" s="22" t="n">
        <f aca="false">Y38-Y39</f>
        <v>2317261.12150877</v>
      </c>
      <c r="Z40" s="22" t="n">
        <f aca="false">Z38-Z39</f>
        <v>282727.62599436</v>
      </c>
      <c r="AA40" s="22" t="n">
        <f aca="false">AA38-AA39</f>
        <v>282727.62599436</v>
      </c>
      <c r="AB40" s="22" t="n">
        <f aca="false">AB38-AB39</f>
        <v>282727.62599436</v>
      </c>
      <c r="AC40" s="22" t="n">
        <f aca="false">AC38-AC39</f>
        <v>282727.62599436</v>
      </c>
      <c r="AD40" s="22" t="n">
        <f aca="false">AD38-AD39</f>
        <v>282727.62599436</v>
      </c>
      <c r="AE40" s="22" t="n">
        <f aca="false">AE38-AE39</f>
        <v>282727.62599436</v>
      </c>
      <c r="AF40" s="22" t="n">
        <f aca="false">AF38-AF39</f>
        <v>282727.62599436</v>
      </c>
      <c r="AG40" s="22" t="n">
        <f aca="false">AG38-AG39</f>
        <v>282727.62599436</v>
      </c>
      <c r="AH40" s="22" t="n">
        <f aca="false">AH38-AH39</f>
        <v>282727.62599436</v>
      </c>
      <c r="AI40" s="22" t="n">
        <f aca="false">AI38-AI39</f>
        <v>282727.62599436</v>
      </c>
      <c r="AJ40" s="22" t="n">
        <f aca="false">AJ38-AJ39</f>
        <v>282727.62599436</v>
      </c>
      <c r="AK40" s="22" t="n">
        <f aca="false">AK38-AK39</f>
        <v>282727.62599436</v>
      </c>
      <c r="AL40" s="22" t="n">
        <f aca="false">AL38-AL39</f>
        <v>282727.62599436</v>
      </c>
      <c r="AM40" s="22" t="n">
        <f aca="false">AM38-AM39</f>
        <v>282727.62599436</v>
      </c>
      <c r="AN40" s="22" t="n">
        <f aca="false">AN38-AN39</f>
        <v>282727.62599436</v>
      </c>
      <c r="AO40" s="22" t="n">
        <f aca="false">AO38-AO39</f>
        <v>282727.62599436</v>
      </c>
      <c r="AP40" s="22" t="n">
        <f aca="false">AP38-AP39</f>
        <v>282727.62599436</v>
      </c>
      <c r="AQ40" s="22" t="n">
        <f aca="false">AQ38-AQ39</f>
        <v>282727.62599436</v>
      </c>
      <c r="AR40" s="22" t="n">
        <f aca="false">AR38-AR39</f>
        <v>282727.62599436</v>
      </c>
      <c r="AS40" s="22" t="n">
        <f aca="false">AS38-AS39</f>
        <v>282727.62599436</v>
      </c>
      <c r="AT40" s="22" t="n">
        <f aca="false">AT38-AT39</f>
        <v>282727.62599436</v>
      </c>
      <c r="AU40" s="22" t="n">
        <f aca="false">AU38-AU39</f>
        <v>282727.62599436</v>
      </c>
      <c r="AV40" s="22" t="n">
        <f aca="false">AV38-AV39</f>
        <v>282727.62599436</v>
      </c>
      <c r="AW40" s="22" t="n">
        <f aca="false">AW38-AW39</f>
        <v>282727.62599436</v>
      </c>
      <c r="AX40" s="22" t="n">
        <f aca="false">AX38-AX39</f>
        <v>282727.62599436</v>
      </c>
      <c r="AY40" s="22" t="n">
        <f aca="false">AY38-AY39</f>
        <v>282727.62599436</v>
      </c>
      <c r="AZ40" s="22" t="n">
        <f aca="false">AZ38-AZ39</f>
        <v>282727.62599436</v>
      </c>
      <c r="BA40" s="22" t="n">
        <f aca="false">BA38-BA39</f>
        <v>282727.62599436</v>
      </c>
      <c r="BB40" s="22" t="n">
        <f aca="false">BB38-BB39</f>
        <v>282727.62599436</v>
      </c>
      <c r="BC40" s="22" t="n">
        <f aca="false">BC38-BC39</f>
        <v>282727.62599436</v>
      </c>
      <c r="BD40" s="22" t="n">
        <f aca="false">BD38-BD39</f>
        <v>282727.62599436</v>
      </c>
      <c r="BE40" s="22" t="n">
        <f aca="false">BE38-BE39</f>
        <v>282727.62599436</v>
      </c>
      <c r="BF40" s="22" t="n">
        <f aca="false">BF38-BF39</f>
        <v>282727.62599436</v>
      </c>
      <c r="BG40" s="22" t="n">
        <f aca="false">BG38-BG39</f>
        <v>282727.62599436</v>
      </c>
      <c r="BH40" s="22" t="n">
        <f aca="false">BH38-BH39</f>
        <v>282727.62599436</v>
      </c>
      <c r="BI40" s="22" t="n">
        <f aca="false">BI38-BI39</f>
        <v>282727.62599436</v>
      </c>
      <c r="BJ40" s="22" t="n">
        <f aca="false">BJ38-BJ39</f>
        <v>0</v>
      </c>
      <c r="BK40" s="22" t="n">
        <f aca="false">BK38-BK39</f>
        <v>0</v>
      </c>
      <c r="BL40" s="22" t="n">
        <f aca="false">BL38-BL39</f>
        <v>0</v>
      </c>
      <c r="BM40" s="22" t="n">
        <f aca="false">BM38-BM39</f>
        <v>0</v>
      </c>
      <c r="BN40" s="22" t="n">
        <f aca="false">BN38-BN39</f>
        <v>0</v>
      </c>
      <c r="BO40" s="22" t="n">
        <f aca="false">BO38-BO39</f>
        <v>0</v>
      </c>
      <c r="BP40" s="22" t="n">
        <f aca="false">BP38-BP39</f>
        <v>0</v>
      </c>
      <c r="BQ40" s="22" t="n">
        <f aca="false">BQ38-BQ39</f>
        <v>0</v>
      </c>
      <c r="BR40" s="22" t="n">
        <f aca="false">BR38-BR39</f>
        <v>0</v>
      </c>
      <c r="BS40" s="22" t="n">
        <f aca="false">BS38-BS39</f>
        <v>0</v>
      </c>
      <c r="BT40" s="22" t="n">
        <f aca="false">BT38-BT39</f>
        <v>0</v>
      </c>
      <c r="BU40" s="22" t="n">
        <f aca="false">BU38-BU39</f>
        <v>0</v>
      </c>
      <c r="BV40" s="22" t="n">
        <f aca="false">BV38-BV39</f>
        <v>0</v>
      </c>
      <c r="BW40" s="22" t="n">
        <f aca="false">BW38-BW39</f>
        <v>0</v>
      </c>
      <c r="BX40" s="22" t="n">
        <f aca="false">BX38-BX39</f>
        <v>0</v>
      </c>
      <c r="BY40" s="22" t="n">
        <f aca="false">BY38-BY39</f>
        <v>0</v>
      </c>
      <c r="BZ40" s="22" t="n">
        <f aca="false">BZ38-BZ39</f>
        <v>0</v>
      </c>
      <c r="CA40" s="22" t="n">
        <f aca="false">CA38-CA39</f>
        <v>0</v>
      </c>
      <c r="CB40" s="22" t="n">
        <f aca="false">CB38-CB39</f>
        <v>0</v>
      </c>
      <c r="CC40" s="22" t="n">
        <f aca="false">CC38-CC39</f>
        <v>0</v>
      </c>
      <c r="CD40" s="22" t="n">
        <f aca="false">CD38-CD39</f>
        <v>0</v>
      </c>
      <c r="CE40" s="22" t="n">
        <f aca="false">CE38-CE39</f>
        <v>0</v>
      </c>
      <c r="CF40" s="22" t="n">
        <f aca="false">CF38-CF39</f>
        <v>0</v>
      </c>
      <c r="CG40" s="22" t="n">
        <f aca="false">CG38-CG39</f>
        <v>0</v>
      </c>
      <c r="CH40" s="22" t="n">
        <f aca="false">CH38-CH39</f>
        <v>0</v>
      </c>
    </row>
    <row r="41" customFormat="false" ht="15" hidden="false" customHeight="fals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</row>
    <row r="42" customFormat="false" ht="15" hidden="false" customHeight="false" outlineLevel="0" collapsed="false">
      <c r="A42" s="4" t="s">
        <v>183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</row>
    <row r="43" customFormat="false" ht="15" hidden="false" customHeight="false" outlineLevel="0" collapsed="false">
      <c r="A43" s="6" t="s">
        <v>184</v>
      </c>
      <c r="B43" s="14" t="n">
        <f aca="false">SUM(C43:CH43)</f>
        <v>2000000</v>
      </c>
      <c r="C43" s="14" t="n">
        <f aca="false">MIN(C39,MAX(0,Supuestos!$B$46-0))</f>
        <v>0</v>
      </c>
      <c r="D43" s="14" t="n">
        <f aca="false">MIN(D39,MAX(0,Supuestos!$B$46-SUM($C$43:C$43)))</f>
        <v>0</v>
      </c>
      <c r="E43" s="14" t="n">
        <f aca="false">MIN(E39,MAX(0,Supuestos!$B$46-SUM($C$43:D$43)))</f>
        <v>0</v>
      </c>
      <c r="F43" s="14" t="n">
        <f aca="false">MIN(F39,MAX(0,Supuestos!$B$46-SUM($C$43:E$43)))</f>
        <v>0</v>
      </c>
      <c r="G43" s="14" t="n">
        <f aca="false">MIN(G39,MAX(0,Supuestos!$B$46-SUM($C$43:F$43)))</f>
        <v>0</v>
      </c>
      <c r="H43" s="14" t="n">
        <f aca="false">MIN(H39,MAX(0,Supuestos!$B$46-SUM($C$43:G$43)))</f>
        <v>0</v>
      </c>
      <c r="I43" s="14" t="n">
        <f aca="false">MIN(I39,MAX(0,Supuestos!$B$46-SUM($C$43:H$43)))</f>
        <v>0</v>
      </c>
      <c r="J43" s="14" t="n">
        <f aca="false">MIN(J39,MAX(0,Supuestos!$B$46-SUM($C$43:I$43)))</f>
        <v>0</v>
      </c>
      <c r="K43" s="14" t="n">
        <f aca="false">MIN(K39,MAX(0,Supuestos!$B$46-SUM($C$43:J$43)))</f>
        <v>0</v>
      </c>
      <c r="L43" s="14" t="n">
        <f aca="false">MIN(L39,MAX(0,Supuestos!$B$46-SUM($C$43:K$43)))</f>
        <v>0</v>
      </c>
      <c r="M43" s="14" t="n">
        <f aca="false">MIN(M39,MAX(0,Supuestos!$B$46-SUM($C$43:L$43)))</f>
        <v>0</v>
      </c>
      <c r="N43" s="14" t="n">
        <f aca="false">MIN(N39,MAX(0,Supuestos!$B$46-SUM($C$43:M$43)))</f>
        <v>0</v>
      </c>
      <c r="O43" s="14" t="n">
        <f aca="false">MIN(O39,MAX(0,Supuestos!$B$46-SUM($C$43:N$43)))</f>
        <v>0</v>
      </c>
      <c r="P43" s="14" t="n">
        <f aca="false">MIN(P39,MAX(0,Supuestos!$B$46-SUM($C$43:O$43)))</f>
        <v>0</v>
      </c>
      <c r="Q43" s="14" t="n">
        <f aca="false">MIN(Q39,MAX(0,Supuestos!$B$46-SUM($C$43:P$43)))</f>
        <v>0</v>
      </c>
      <c r="R43" s="14" t="n">
        <f aca="false">MIN(R39,MAX(0,Supuestos!$B$46-SUM($C$43:Q$43)))</f>
        <v>0</v>
      </c>
      <c r="S43" s="14" t="n">
        <f aca="false">MIN(S39,MAX(0,Supuestos!$B$46-SUM($C$43:R$43)))</f>
        <v>0</v>
      </c>
      <c r="T43" s="14" t="n">
        <f aca="false">MIN(T39,MAX(0,Supuestos!$B$46-SUM($C$43:S$43)))</f>
        <v>0</v>
      </c>
      <c r="U43" s="14" t="n">
        <f aca="false">MIN(U39,MAX(0,Supuestos!$B$46-SUM($C$43:T$43)))</f>
        <v>0</v>
      </c>
      <c r="V43" s="14" t="n">
        <f aca="false">MIN(V39,MAX(0,Supuestos!$B$46-SUM($C$43:U$43)))</f>
        <v>0</v>
      </c>
      <c r="W43" s="14" t="n">
        <f aca="false">MIN(W39,MAX(0,Supuestos!$B$46-SUM($C$43:V$43)))</f>
        <v>0</v>
      </c>
      <c r="X43" s="14" t="n">
        <f aca="false">MIN(X39,MAX(0,Supuestos!$B$46-SUM($C$43:W$43)))</f>
        <v>0</v>
      </c>
      <c r="Y43" s="14" t="n">
        <f aca="false">MIN(Y39,MAX(0,Supuestos!$B$46-SUM($C$43:X$43)))</f>
        <v>0</v>
      </c>
      <c r="Z43" s="14" t="n">
        <f aca="false">MIN(Z39,MAX(0,Supuestos!$B$46-SUM($C$43:Y$43)))</f>
        <v>2000000</v>
      </c>
      <c r="AA43" s="14" t="n">
        <f aca="false">MIN(AA39,MAX(0,Supuestos!$B$46-SUM($C$43:Z$43)))</f>
        <v>0</v>
      </c>
      <c r="AB43" s="14" t="n">
        <f aca="false">MIN(AB39,MAX(0,Supuestos!$B$46-SUM($C$43:AA$43)))</f>
        <v>0</v>
      </c>
      <c r="AC43" s="14" t="n">
        <f aca="false">MIN(AC39,MAX(0,Supuestos!$B$46-SUM($C$43:AB$43)))</f>
        <v>0</v>
      </c>
      <c r="AD43" s="14" t="n">
        <f aca="false">MIN(AD39,MAX(0,Supuestos!$B$46-SUM($C$43:AC$43)))</f>
        <v>0</v>
      </c>
      <c r="AE43" s="14" t="n">
        <f aca="false">MIN(AE39,MAX(0,Supuestos!$B$46-SUM($C$43:AD$43)))</f>
        <v>0</v>
      </c>
      <c r="AF43" s="14" t="n">
        <f aca="false">MIN(AF39,MAX(0,Supuestos!$B$46-SUM($C$43:AE$43)))</f>
        <v>0</v>
      </c>
      <c r="AG43" s="14" t="n">
        <f aca="false">MIN(AG39,MAX(0,Supuestos!$B$46-SUM($C$43:AF$43)))</f>
        <v>0</v>
      </c>
      <c r="AH43" s="14" t="n">
        <f aca="false">MIN(AH39,MAX(0,Supuestos!$B$46-SUM($C$43:AG$43)))</f>
        <v>0</v>
      </c>
      <c r="AI43" s="14" t="n">
        <f aca="false">MIN(AI39,MAX(0,Supuestos!$B$46-SUM($C$43:AH$43)))</f>
        <v>0</v>
      </c>
      <c r="AJ43" s="14" t="n">
        <f aca="false">MIN(AJ39,MAX(0,Supuestos!$B$46-SUM($C$43:AI$43)))</f>
        <v>0</v>
      </c>
      <c r="AK43" s="14" t="n">
        <f aca="false">MIN(AK39,MAX(0,Supuestos!$B$46-SUM($C$43:AJ$43)))</f>
        <v>0</v>
      </c>
      <c r="AL43" s="14" t="n">
        <f aca="false">MIN(AL39,MAX(0,Supuestos!$B$46-SUM($C$43:AK$43)))</f>
        <v>0</v>
      </c>
      <c r="AM43" s="14" t="n">
        <f aca="false">MIN(AM39,MAX(0,Supuestos!$B$46-SUM($C$43:AL$43)))</f>
        <v>0</v>
      </c>
      <c r="AN43" s="14" t="n">
        <f aca="false">MIN(AN39,MAX(0,Supuestos!$B$46-SUM($C$43:AM$43)))</f>
        <v>0</v>
      </c>
      <c r="AO43" s="14" t="n">
        <f aca="false">MIN(AO39,MAX(0,Supuestos!$B$46-SUM($C$43:AN$43)))</f>
        <v>0</v>
      </c>
      <c r="AP43" s="14" t="n">
        <f aca="false">MIN(AP39,MAX(0,Supuestos!$B$46-SUM($C$43:AO$43)))</f>
        <v>0</v>
      </c>
      <c r="AQ43" s="14" t="n">
        <f aca="false">MIN(AQ39,MAX(0,Supuestos!$B$46-SUM($C$43:AP$43)))</f>
        <v>0</v>
      </c>
      <c r="AR43" s="14" t="n">
        <f aca="false">MIN(AR39,MAX(0,Supuestos!$B$46-SUM($C$43:AQ$43)))</f>
        <v>0</v>
      </c>
      <c r="AS43" s="14" t="n">
        <f aca="false">MIN(AS39,MAX(0,Supuestos!$B$46-SUM($C$43:AR$43)))</f>
        <v>0</v>
      </c>
      <c r="AT43" s="14" t="n">
        <f aca="false">MIN(AT39,MAX(0,Supuestos!$B$46-SUM($C$43:AS$43)))</f>
        <v>0</v>
      </c>
      <c r="AU43" s="14" t="n">
        <f aca="false">MIN(AU39,MAX(0,Supuestos!$B$46-SUM($C$43:AT$43)))</f>
        <v>0</v>
      </c>
      <c r="AV43" s="14" t="n">
        <f aca="false">MIN(AV39,MAX(0,Supuestos!$B$46-SUM($C$43:AU$43)))</f>
        <v>0</v>
      </c>
      <c r="AW43" s="14" t="n">
        <f aca="false">MIN(AW39,MAX(0,Supuestos!$B$46-SUM($C$43:AV$43)))</f>
        <v>0</v>
      </c>
      <c r="AX43" s="14" t="n">
        <f aca="false">MIN(AX39,MAX(0,Supuestos!$B$46-SUM($C$43:AW$43)))</f>
        <v>0</v>
      </c>
      <c r="AY43" s="14" t="n">
        <f aca="false">MIN(AY39,MAX(0,Supuestos!$B$46-SUM($C$43:AX$43)))</f>
        <v>0</v>
      </c>
      <c r="AZ43" s="14" t="n">
        <f aca="false">MIN(AZ39,MAX(0,Supuestos!$B$46-SUM($C$43:AY$43)))</f>
        <v>0</v>
      </c>
      <c r="BA43" s="14" t="n">
        <f aca="false">MIN(BA39,MAX(0,Supuestos!$B$46-SUM($C$43:AZ$43)))</f>
        <v>0</v>
      </c>
      <c r="BB43" s="14" t="n">
        <f aca="false">MIN(BB39,MAX(0,Supuestos!$B$46-SUM($C$43:BA$43)))</f>
        <v>0</v>
      </c>
      <c r="BC43" s="14" t="n">
        <f aca="false">MIN(BC39,MAX(0,Supuestos!$B$46-SUM($C$43:BB$43)))</f>
        <v>0</v>
      </c>
      <c r="BD43" s="14" t="n">
        <f aca="false">MIN(BD39,MAX(0,Supuestos!$B$46-SUM($C$43:BC$43)))</f>
        <v>0</v>
      </c>
      <c r="BE43" s="14" t="n">
        <f aca="false">MIN(BE39,MAX(0,Supuestos!$B$46-SUM($C$43:BD$43)))</f>
        <v>0</v>
      </c>
      <c r="BF43" s="14" t="n">
        <f aca="false">MIN(BF39,MAX(0,Supuestos!$B$46-SUM($C$43:BE$43)))</f>
        <v>0</v>
      </c>
      <c r="BG43" s="14" t="n">
        <f aca="false">MIN(BG39,MAX(0,Supuestos!$B$46-SUM($C$43:BF$43)))</f>
        <v>0</v>
      </c>
      <c r="BH43" s="14" t="n">
        <f aca="false">MIN(BH39,MAX(0,Supuestos!$B$46-SUM($C$43:BG$43)))</f>
        <v>0</v>
      </c>
      <c r="BI43" s="14" t="n">
        <f aca="false">MIN(BI39,MAX(0,Supuestos!$B$46-SUM($C$43:BH$43)))</f>
        <v>0</v>
      </c>
      <c r="BJ43" s="14" t="n">
        <f aca="false">MIN(BJ39,MAX(0,Supuestos!$B$46-SUM($C$43:BI$43)))</f>
        <v>0</v>
      </c>
      <c r="BK43" s="14" t="n">
        <f aca="false">MIN(BK39,MAX(0,Supuestos!$B$46-SUM($C$43:BJ$43)))</f>
        <v>0</v>
      </c>
      <c r="BL43" s="14" t="n">
        <f aca="false">MIN(BL39,MAX(0,Supuestos!$B$46-SUM($C$43:BK$43)))</f>
        <v>0</v>
      </c>
      <c r="BM43" s="14" t="n">
        <f aca="false">MIN(BM39,MAX(0,Supuestos!$B$46-SUM($C$43:BL$43)))</f>
        <v>0</v>
      </c>
      <c r="BN43" s="14" t="n">
        <f aca="false">MIN(BN39,MAX(0,Supuestos!$B$46-SUM($C$43:BM$43)))</f>
        <v>0</v>
      </c>
      <c r="BO43" s="14" t="n">
        <f aca="false">MIN(BO39,MAX(0,Supuestos!$B$46-SUM($C$43:BN$43)))</f>
        <v>0</v>
      </c>
      <c r="BP43" s="14" t="n">
        <f aca="false">MIN(BP39,MAX(0,Supuestos!$B$46-SUM($C$43:BO$43)))</f>
        <v>0</v>
      </c>
      <c r="BQ43" s="14" t="n">
        <f aca="false">MIN(BQ39,MAX(0,Supuestos!$B$46-SUM($C$43:BP$43)))</f>
        <v>0</v>
      </c>
      <c r="BR43" s="14" t="n">
        <f aca="false">MIN(BR39,MAX(0,Supuestos!$B$46-SUM($C$43:BQ$43)))</f>
        <v>0</v>
      </c>
      <c r="BS43" s="14" t="n">
        <f aca="false">MIN(BS39,MAX(0,Supuestos!$B$46-SUM($C$43:BR$43)))</f>
        <v>0</v>
      </c>
      <c r="BT43" s="14" t="n">
        <f aca="false">MIN(BT39,MAX(0,Supuestos!$B$46-SUM($C$43:BS$43)))</f>
        <v>0</v>
      </c>
      <c r="BU43" s="14" t="n">
        <f aca="false">MIN(BU39,MAX(0,Supuestos!$B$46-SUM($C$43:BT$43)))</f>
        <v>0</v>
      </c>
      <c r="BV43" s="14" t="n">
        <f aca="false">MIN(BV39,MAX(0,Supuestos!$B$46-SUM($C$43:BU$43)))</f>
        <v>0</v>
      </c>
      <c r="BW43" s="14" t="n">
        <f aca="false">MIN(BW39,MAX(0,Supuestos!$B$46-SUM($C$43:BV$43)))</f>
        <v>0</v>
      </c>
      <c r="BX43" s="14" t="n">
        <f aca="false">MIN(BX39,MAX(0,Supuestos!$B$46-SUM($C$43:BW$43)))</f>
        <v>0</v>
      </c>
      <c r="BY43" s="14" t="n">
        <f aca="false">MIN(BY39,MAX(0,Supuestos!$B$46-SUM($C$43:BX$43)))</f>
        <v>0</v>
      </c>
      <c r="BZ43" s="14" t="n">
        <f aca="false">MIN(BZ39,MAX(0,Supuestos!$B$46-SUM($C$43:BY$43)))</f>
        <v>0</v>
      </c>
      <c r="CA43" s="14" t="n">
        <f aca="false">MIN(CA39,MAX(0,Supuestos!$B$46-SUM($C$43:BZ$43)))</f>
        <v>0</v>
      </c>
      <c r="CB43" s="14" t="n">
        <f aca="false">MIN(CB39,MAX(0,Supuestos!$B$46-SUM($C$43:CA$43)))</f>
        <v>0</v>
      </c>
      <c r="CC43" s="14" t="n">
        <f aca="false">MIN(CC39,MAX(0,Supuestos!$B$46-SUM($C$43:CB$43)))</f>
        <v>0</v>
      </c>
      <c r="CD43" s="14" t="n">
        <f aca="false">MIN(CD39,MAX(0,Supuestos!$B$46-SUM($C$43:CC$43)))</f>
        <v>0</v>
      </c>
      <c r="CE43" s="14" t="n">
        <f aca="false">MIN(CE39,MAX(0,Supuestos!$B$46-SUM($C$43:CD$43)))</f>
        <v>0</v>
      </c>
      <c r="CF43" s="14" t="n">
        <f aca="false">MIN(CF39,MAX(0,Supuestos!$B$46-SUM($C$43:CE$43)))</f>
        <v>0</v>
      </c>
      <c r="CG43" s="14" t="n">
        <f aca="false">MIN(CG39,MAX(0,Supuestos!$B$46-SUM($C$43:CF$43)))</f>
        <v>0</v>
      </c>
      <c r="CH43" s="14" t="n">
        <f aca="false">MIN(CH39,MAX(0,Supuestos!$B$46-SUM($C$43:CG$43)))</f>
        <v>0</v>
      </c>
    </row>
    <row r="44" customFormat="false" ht="15" hidden="false" customHeight="false" outlineLevel="0" collapsed="false">
      <c r="A44" s="6" t="s">
        <v>185</v>
      </c>
      <c r="B44" s="9" t="n">
        <f aca="false">SUM(C44:CH44)</f>
        <v>5454509.73340245</v>
      </c>
      <c r="C44" s="22" t="n">
        <f aca="false">C39-C43</f>
        <v>0</v>
      </c>
      <c r="D44" s="22" t="n">
        <f aca="false">D39-D43</f>
        <v>0</v>
      </c>
      <c r="E44" s="22" t="n">
        <f aca="false">E39-E43</f>
        <v>0</v>
      </c>
      <c r="F44" s="22" t="n">
        <f aca="false">F39-F43</f>
        <v>0</v>
      </c>
      <c r="G44" s="22" t="n">
        <f aca="false">G39-G43</f>
        <v>0</v>
      </c>
      <c r="H44" s="22" t="n">
        <f aca="false">H39-H43</f>
        <v>0</v>
      </c>
      <c r="I44" s="22" t="n">
        <f aca="false">I39-I43</f>
        <v>0</v>
      </c>
      <c r="J44" s="22" t="n">
        <f aca="false">J39-J43</f>
        <v>0</v>
      </c>
      <c r="K44" s="22" t="n">
        <f aca="false">K39-K43</f>
        <v>0</v>
      </c>
      <c r="L44" s="22" t="n">
        <f aca="false">L39-L43</f>
        <v>0</v>
      </c>
      <c r="M44" s="22" t="n">
        <f aca="false">M39-M43</f>
        <v>0</v>
      </c>
      <c r="N44" s="22" t="n">
        <f aca="false">N39-N43</f>
        <v>0</v>
      </c>
      <c r="O44" s="22" t="n">
        <f aca="false">O39-O43</f>
        <v>0</v>
      </c>
      <c r="P44" s="22" t="n">
        <f aca="false">P39-P43</f>
        <v>0</v>
      </c>
      <c r="Q44" s="22" t="n">
        <f aca="false">Q39-Q43</f>
        <v>0</v>
      </c>
      <c r="R44" s="22" t="n">
        <f aca="false">R39-R43</f>
        <v>0</v>
      </c>
      <c r="S44" s="22" t="n">
        <f aca="false">S39-S43</f>
        <v>0</v>
      </c>
      <c r="T44" s="22" t="n">
        <f aca="false">T39-T43</f>
        <v>0</v>
      </c>
      <c r="U44" s="22" t="n">
        <f aca="false">U39-U43</f>
        <v>0</v>
      </c>
      <c r="V44" s="22" t="n">
        <f aca="false">V39-V43</f>
        <v>0</v>
      </c>
      <c r="W44" s="22" t="n">
        <f aca="false">W39-W43</f>
        <v>0</v>
      </c>
      <c r="X44" s="22" t="n">
        <f aca="false">X39-X43</f>
        <v>0</v>
      </c>
      <c r="Y44" s="22" t="n">
        <f aca="false">Y39-Y43</f>
        <v>0</v>
      </c>
      <c r="Z44" s="22" t="n">
        <f aca="false">Z39-Z43</f>
        <v>1675326.69529383</v>
      </c>
      <c r="AA44" s="22" t="n">
        <f aca="false">AA39-AA43</f>
        <v>55119.201938645</v>
      </c>
      <c r="AB44" s="22" t="n">
        <f aca="false">AB39-AB43</f>
        <v>58095.2040978764</v>
      </c>
      <c r="AC44" s="22" t="n">
        <f aca="false">AC39-AC43</f>
        <v>61071.206257108</v>
      </c>
      <c r="AD44" s="22" t="n">
        <f aca="false">AD39-AD43</f>
        <v>64047.2084163394</v>
      </c>
      <c r="AE44" s="22" t="n">
        <f aca="false">AE39-AE43</f>
        <v>67023.2105755709</v>
      </c>
      <c r="AF44" s="22" t="n">
        <f aca="false">AF39-AF43</f>
        <v>69999.2127348023</v>
      </c>
      <c r="AG44" s="22" t="n">
        <f aca="false">AG39-AG43</f>
        <v>72975.2148940339</v>
      </c>
      <c r="AH44" s="22" t="n">
        <f aca="false">AH39-AH43</f>
        <v>75951.2170532653</v>
      </c>
      <c r="AI44" s="22" t="n">
        <f aca="false">AI39-AI43</f>
        <v>78927.2192124968</v>
      </c>
      <c r="AJ44" s="22" t="n">
        <f aca="false">AJ39-AJ43</f>
        <v>81903.2213717282</v>
      </c>
      <c r="AK44" s="22" t="n">
        <f aca="false">AK39-AK43</f>
        <v>84879.2235309597</v>
      </c>
      <c r="AL44" s="22" t="n">
        <f aca="false">AL39-AL43</f>
        <v>87855.2256901912</v>
      </c>
      <c r="AM44" s="22" t="n">
        <f aca="false">AM39-AM43</f>
        <v>90831.2278494226</v>
      </c>
      <c r="AN44" s="22" t="n">
        <f aca="false">AN39-AN43</f>
        <v>93807.2300086541</v>
      </c>
      <c r="AO44" s="22" t="n">
        <f aca="false">AO39-AO43</f>
        <v>96783.2321678855</v>
      </c>
      <c r="AP44" s="22" t="n">
        <f aca="false">AP39-AP43</f>
        <v>99759.234327117</v>
      </c>
      <c r="AQ44" s="22" t="n">
        <f aca="false">AQ39-AQ43</f>
        <v>102735.236486349</v>
      </c>
      <c r="AR44" s="22" t="n">
        <f aca="false">AR39-AR43</f>
        <v>105711.23864558</v>
      </c>
      <c r="AS44" s="22" t="n">
        <f aca="false">AS39-AS43</f>
        <v>108687.240804811</v>
      </c>
      <c r="AT44" s="22" t="n">
        <f aca="false">AT39-AT43</f>
        <v>111663.242964043</v>
      </c>
      <c r="AU44" s="22" t="n">
        <f aca="false">AU39-AU43</f>
        <v>114639.245123274</v>
      </c>
      <c r="AV44" s="22" t="n">
        <f aca="false">AV39-AV43</f>
        <v>108445.973926104</v>
      </c>
      <c r="AW44" s="22" t="n">
        <f aca="false">AW39-AW43</f>
        <v>104532.075843005</v>
      </c>
      <c r="AX44" s="22" t="n">
        <f aca="false">AX39-AX43</f>
        <v>101556.073683774</v>
      </c>
      <c r="AY44" s="22" t="n">
        <f aca="false">AY39-AY43</f>
        <v>98580.0715245424</v>
      </c>
      <c r="AZ44" s="22" t="n">
        <f aca="false">AZ39-AZ43</f>
        <v>95604.0693653108</v>
      </c>
      <c r="BA44" s="22" t="n">
        <f aca="false">BA39-BA43</f>
        <v>92628.0672060794</v>
      </c>
      <c r="BB44" s="22" t="n">
        <f aca="false">BB39-BB43</f>
        <v>89652.0650468479</v>
      </c>
      <c r="BC44" s="22" t="n">
        <f aca="false">BC39-BC43</f>
        <v>86676.0628876165</v>
      </c>
      <c r="BD44" s="22" t="n">
        <f aca="false">BD39-BD43</f>
        <v>83700.060728385</v>
      </c>
      <c r="BE44" s="22" t="n">
        <f aca="false">BE39-BE43</f>
        <v>80724.0585691535</v>
      </c>
      <c r="BF44" s="22" t="n">
        <f aca="false">BF39-BF43</f>
        <v>77748.0564099221</v>
      </c>
      <c r="BG44" s="22" t="n">
        <f aca="false">BG39-BG43</f>
        <v>74772.0542506906</v>
      </c>
      <c r="BH44" s="22" t="n">
        <f aca="false">BH39-BH43</f>
        <v>71796.0520914592</v>
      </c>
      <c r="BI44" s="22" t="n">
        <f aca="false">BI39-BI43</f>
        <v>68820.0499322276</v>
      </c>
      <c r="BJ44" s="22" t="n">
        <f aca="false">BJ39-BJ43</f>
        <v>65844.0477729962</v>
      </c>
      <c r="BK44" s="22" t="n">
        <f aca="false">BK39-BK43</f>
        <v>62868.0456137647</v>
      </c>
      <c r="BL44" s="22" t="n">
        <f aca="false">BL39-BL43</f>
        <v>59892.0434545333</v>
      </c>
      <c r="BM44" s="22" t="n">
        <f aca="false">BM39-BM43</f>
        <v>56916.0412953018</v>
      </c>
      <c r="BN44" s="22" t="n">
        <f aca="false">BN39-BN43</f>
        <v>53940.0391360703</v>
      </c>
      <c r="BO44" s="22" t="n">
        <f aca="false">BO39-BO43</f>
        <v>50964.0369768389</v>
      </c>
      <c r="BP44" s="22" t="n">
        <f aca="false">BP39-BP43</f>
        <v>47988.0348176074</v>
      </c>
      <c r="BQ44" s="22" t="n">
        <f aca="false">BQ39-BQ43</f>
        <v>45012.0326583759</v>
      </c>
      <c r="BR44" s="22" t="n">
        <f aca="false">BR39-BR43</f>
        <v>42036.0304991445</v>
      </c>
      <c r="BS44" s="22" t="n">
        <f aca="false">BS39-BS43</f>
        <v>39060.028339913</v>
      </c>
      <c r="BT44" s="22" t="n">
        <f aca="false">BT39-BT43</f>
        <v>36084.0261806815</v>
      </c>
      <c r="BU44" s="22" t="n">
        <f aca="false">BU39-BU43</f>
        <v>33108.0240214501</v>
      </c>
      <c r="BV44" s="22" t="n">
        <f aca="false">BV39-BV43</f>
        <v>30132.0218622186</v>
      </c>
      <c r="BW44" s="22" t="n">
        <f aca="false">BW39-BW43</f>
        <v>27156.0197029871</v>
      </c>
      <c r="BX44" s="22" t="n">
        <f aca="false">BX39-BX43</f>
        <v>24180.0175437557</v>
      </c>
      <c r="BY44" s="22" t="n">
        <f aca="false">BY39-BY43</f>
        <v>21204.0153845242</v>
      </c>
      <c r="BZ44" s="22" t="n">
        <f aca="false">BZ39-BZ43</f>
        <v>18228.0132252927</v>
      </c>
      <c r="CA44" s="22" t="n">
        <f aca="false">CA39-CA43</f>
        <v>15252.0110660613</v>
      </c>
      <c r="CB44" s="22" t="n">
        <f aca="false">CB39-CB43</f>
        <v>12276.0089068298</v>
      </c>
      <c r="CC44" s="22" t="n">
        <f aca="false">CC39-CC43</f>
        <v>9300.00674759833</v>
      </c>
      <c r="CD44" s="22" t="n">
        <f aca="false">CD39-CD43</f>
        <v>6324.00458836687</v>
      </c>
      <c r="CE44" s="22" t="n">
        <f aca="false">CE39-CE43</f>
        <v>3348.0024291354</v>
      </c>
      <c r="CF44" s="22" t="n">
        <f aca="false">CF39-CF43</f>
        <v>372.000269903933</v>
      </c>
      <c r="CG44" s="22" t="n">
        <f aca="false">CG39-CG43</f>
        <v>0</v>
      </c>
      <c r="CH44" s="22" t="n">
        <f aca="false">CH39-CH43</f>
        <v>0</v>
      </c>
    </row>
    <row r="45" customFormat="false" ht="15" hidden="false" customHeight="false" outlineLevel="0" collapsed="false">
      <c r="A45" s="6" t="s">
        <v>186</v>
      </c>
      <c r="B45" s="9" t="n">
        <f aca="false">SUM(C45:CH45)</f>
        <v>1909078.40669086</v>
      </c>
      <c r="C45" s="22" t="n">
        <f aca="false">C44*Supuestos!$B$48</f>
        <v>0</v>
      </c>
      <c r="D45" s="22" t="n">
        <f aca="false">D44*Supuestos!$B$48</f>
        <v>0</v>
      </c>
      <c r="E45" s="22" t="n">
        <f aca="false">E44*Supuestos!$B$48</f>
        <v>0</v>
      </c>
      <c r="F45" s="22" t="n">
        <f aca="false">F44*Supuestos!$B$48</f>
        <v>0</v>
      </c>
      <c r="G45" s="22" t="n">
        <f aca="false">G44*Supuestos!$B$48</f>
        <v>0</v>
      </c>
      <c r="H45" s="22" t="n">
        <f aca="false">H44*Supuestos!$B$48</f>
        <v>0</v>
      </c>
      <c r="I45" s="22" t="n">
        <f aca="false">I44*Supuestos!$B$48</f>
        <v>0</v>
      </c>
      <c r="J45" s="22" t="n">
        <f aca="false">J44*Supuestos!$B$48</f>
        <v>0</v>
      </c>
      <c r="K45" s="22" t="n">
        <f aca="false">K44*Supuestos!$B$48</f>
        <v>0</v>
      </c>
      <c r="L45" s="22" t="n">
        <f aca="false">L44*Supuestos!$B$48</f>
        <v>0</v>
      </c>
      <c r="M45" s="22" t="n">
        <f aca="false">M44*Supuestos!$B$48</f>
        <v>0</v>
      </c>
      <c r="N45" s="22" t="n">
        <f aca="false">N44*Supuestos!$B$48</f>
        <v>0</v>
      </c>
      <c r="O45" s="22" t="n">
        <f aca="false">O44*Supuestos!$B$48</f>
        <v>0</v>
      </c>
      <c r="P45" s="22" t="n">
        <f aca="false">P44*Supuestos!$B$48</f>
        <v>0</v>
      </c>
      <c r="Q45" s="22" t="n">
        <f aca="false">Q44*Supuestos!$B$48</f>
        <v>0</v>
      </c>
      <c r="R45" s="22" t="n">
        <f aca="false">R44*Supuestos!$B$48</f>
        <v>0</v>
      </c>
      <c r="S45" s="22" t="n">
        <f aca="false">S44*Supuestos!$B$48</f>
        <v>0</v>
      </c>
      <c r="T45" s="22" t="n">
        <f aca="false">T44*Supuestos!$B$48</f>
        <v>0</v>
      </c>
      <c r="U45" s="22" t="n">
        <f aca="false">U44*Supuestos!$B$48</f>
        <v>0</v>
      </c>
      <c r="V45" s="22" t="n">
        <f aca="false">V44*Supuestos!$B$48</f>
        <v>0</v>
      </c>
      <c r="W45" s="22" t="n">
        <f aca="false">W44*Supuestos!$B$48</f>
        <v>0</v>
      </c>
      <c r="X45" s="22" t="n">
        <f aca="false">X44*Supuestos!$B$48</f>
        <v>0</v>
      </c>
      <c r="Y45" s="22" t="n">
        <f aca="false">Y44*Supuestos!$B$48</f>
        <v>0</v>
      </c>
      <c r="Z45" s="22" t="n">
        <f aca="false">Z44*Supuestos!$B$48</f>
        <v>586364.343352839</v>
      </c>
      <c r="AA45" s="22" t="n">
        <f aca="false">AA44*Supuestos!$B$48</f>
        <v>19291.7206785257</v>
      </c>
      <c r="AB45" s="22" t="n">
        <f aca="false">AB44*Supuestos!$B$48</f>
        <v>20333.3214342568</v>
      </c>
      <c r="AC45" s="22" t="n">
        <f aca="false">AC44*Supuestos!$B$48</f>
        <v>21374.9221899878</v>
      </c>
      <c r="AD45" s="22" t="n">
        <f aca="false">AD44*Supuestos!$B$48</f>
        <v>22416.5229457188</v>
      </c>
      <c r="AE45" s="22" t="n">
        <f aca="false">AE44*Supuestos!$B$48</f>
        <v>23458.1237014498</v>
      </c>
      <c r="AF45" s="22" t="n">
        <f aca="false">AF44*Supuestos!$B$48</f>
        <v>24499.7244571808</v>
      </c>
      <c r="AG45" s="22" t="n">
        <f aca="false">AG44*Supuestos!$B$48</f>
        <v>25541.3252129119</v>
      </c>
      <c r="AH45" s="22" t="n">
        <f aca="false">AH44*Supuestos!$B$48</f>
        <v>26582.9259686429</v>
      </c>
      <c r="AI45" s="22" t="n">
        <f aca="false">AI44*Supuestos!$B$48</f>
        <v>27624.5267243739</v>
      </c>
      <c r="AJ45" s="22" t="n">
        <f aca="false">AJ44*Supuestos!$B$48</f>
        <v>28666.1274801049</v>
      </c>
      <c r="AK45" s="22" t="n">
        <f aca="false">AK44*Supuestos!$B$48</f>
        <v>29707.7282358359</v>
      </c>
      <c r="AL45" s="22" t="n">
        <f aca="false">AL44*Supuestos!$B$48</f>
        <v>30749.3289915669</v>
      </c>
      <c r="AM45" s="22" t="n">
        <f aca="false">AM44*Supuestos!$B$48</f>
        <v>31790.9297472979</v>
      </c>
      <c r="AN45" s="22" t="n">
        <f aca="false">AN44*Supuestos!$B$48</f>
        <v>32832.5305030289</v>
      </c>
      <c r="AO45" s="22" t="n">
        <f aca="false">AO44*Supuestos!$B$48</f>
        <v>33874.1312587599</v>
      </c>
      <c r="AP45" s="22" t="n">
        <f aca="false">AP44*Supuestos!$B$48</f>
        <v>34915.7320144909</v>
      </c>
      <c r="AQ45" s="22" t="n">
        <f aca="false">AQ44*Supuestos!$B$48</f>
        <v>35957.332770222</v>
      </c>
      <c r="AR45" s="22" t="n">
        <f aca="false">AR44*Supuestos!$B$48</f>
        <v>36998.933525953</v>
      </c>
      <c r="AS45" s="22" t="n">
        <f aca="false">AS44*Supuestos!$B$48</f>
        <v>38040.534281684</v>
      </c>
      <c r="AT45" s="22" t="n">
        <f aca="false">AT44*Supuestos!$B$48</f>
        <v>39082.135037415</v>
      </c>
      <c r="AU45" s="22" t="n">
        <f aca="false">AU44*Supuestos!$B$48</f>
        <v>40123.735793146</v>
      </c>
      <c r="AV45" s="22" t="n">
        <f aca="false">AV44*Supuestos!$B$48</f>
        <v>37956.0908741366</v>
      </c>
      <c r="AW45" s="22" t="n">
        <f aca="false">AW44*Supuestos!$B$48</f>
        <v>36586.2265450518</v>
      </c>
      <c r="AX45" s="22" t="n">
        <f aca="false">AX44*Supuestos!$B$48</f>
        <v>35544.6257893208</v>
      </c>
      <c r="AY45" s="22" t="n">
        <f aca="false">AY44*Supuestos!$B$48</f>
        <v>34503.0250335898</v>
      </c>
      <c r="AZ45" s="22" t="n">
        <f aca="false">AZ44*Supuestos!$B$48</f>
        <v>33461.4242778588</v>
      </c>
      <c r="BA45" s="22" t="n">
        <f aca="false">BA44*Supuestos!$B$48</f>
        <v>32419.8235221278</v>
      </c>
      <c r="BB45" s="22" t="n">
        <f aca="false">BB44*Supuestos!$B$48</f>
        <v>31378.2227663968</v>
      </c>
      <c r="BC45" s="22" t="n">
        <f aca="false">BC44*Supuestos!$B$48</f>
        <v>30336.6220106658</v>
      </c>
      <c r="BD45" s="22" t="n">
        <f aca="false">BD44*Supuestos!$B$48</f>
        <v>29295.0212549347</v>
      </c>
      <c r="BE45" s="22" t="n">
        <f aca="false">BE44*Supuestos!$B$48</f>
        <v>28253.4204992037</v>
      </c>
      <c r="BF45" s="22" t="n">
        <f aca="false">BF44*Supuestos!$B$48</f>
        <v>27211.8197434727</v>
      </c>
      <c r="BG45" s="22" t="n">
        <f aca="false">BG44*Supuestos!$B$48</f>
        <v>26170.2189877417</v>
      </c>
      <c r="BH45" s="22" t="n">
        <f aca="false">BH44*Supuestos!$B$48</f>
        <v>25128.6182320107</v>
      </c>
      <c r="BI45" s="22" t="n">
        <f aca="false">BI44*Supuestos!$B$48</f>
        <v>24087.0174762797</v>
      </c>
      <c r="BJ45" s="22" t="n">
        <f aca="false">BJ44*Supuestos!$B$48</f>
        <v>23045.4167205487</v>
      </c>
      <c r="BK45" s="22" t="n">
        <f aca="false">BK44*Supuestos!$B$48</f>
        <v>22003.8159648177</v>
      </c>
      <c r="BL45" s="22" t="n">
        <f aca="false">BL44*Supuestos!$B$48</f>
        <v>20962.2152090866</v>
      </c>
      <c r="BM45" s="22" t="n">
        <f aca="false">BM44*Supuestos!$B$48</f>
        <v>19920.6144533556</v>
      </c>
      <c r="BN45" s="22" t="n">
        <f aca="false">BN44*Supuestos!$B$48</f>
        <v>18879.0136976246</v>
      </c>
      <c r="BO45" s="22" t="n">
        <f aca="false">BO44*Supuestos!$B$48</f>
        <v>17837.4129418936</v>
      </c>
      <c r="BP45" s="22" t="n">
        <f aca="false">BP44*Supuestos!$B$48</f>
        <v>16795.8121861626</v>
      </c>
      <c r="BQ45" s="22" t="n">
        <f aca="false">BQ44*Supuestos!$B$48</f>
        <v>15754.2114304316</v>
      </c>
      <c r="BR45" s="22" t="n">
        <f aca="false">BR44*Supuestos!$B$48</f>
        <v>14712.6106747006</v>
      </c>
      <c r="BS45" s="22" t="n">
        <f aca="false">BS44*Supuestos!$B$48</f>
        <v>13671.0099189695</v>
      </c>
      <c r="BT45" s="22" t="n">
        <f aca="false">BT44*Supuestos!$B$48</f>
        <v>12629.4091632385</v>
      </c>
      <c r="BU45" s="22" t="n">
        <f aca="false">BU44*Supuestos!$B$48</f>
        <v>11587.8084075075</v>
      </c>
      <c r="BV45" s="22" t="n">
        <f aca="false">BV44*Supuestos!$B$48</f>
        <v>10546.2076517765</v>
      </c>
      <c r="BW45" s="22" t="n">
        <f aca="false">BW44*Supuestos!$B$48</f>
        <v>9504.6068960455</v>
      </c>
      <c r="BX45" s="22" t="n">
        <f aca="false">BX44*Supuestos!$B$48</f>
        <v>8463.00614031448</v>
      </c>
      <c r="BY45" s="22" t="n">
        <f aca="false">BY44*Supuestos!$B$48</f>
        <v>7421.40538458347</v>
      </c>
      <c r="BZ45" s="22" t="n">
        <f aca="false">BZ44*Supuestos!$B$48</f>
        <v>6379.80462885246</v>
      </c>
      <c r="CA45" s="22" t="n">
        <f aca="false">CA44*Supuestos!$B$48</f>
        <v>5338.20387312144</v>
      </c>
      <c r="CB45" s="22" t="n">
        <f aca="false">CB44*Supuestos!$B$48</f>
        <v>4296.60311739043</v>
      </c>
      <c r="CC45" s="22" t="n">
        <f aca="false">CC44*Supuestos!$B$48</f>
        <v>3255.00236165942</v>
      </c>
      <c r="CD45" s="22" t="n">
        <f aca="false">CD44*Supuestos!$B$48</f>
        <v>2213.4016059284</v>
      </c>
      <c r="CE45" s="22" t="n">
        <f aca="false">CE44*Supuestos!$B$48</f>
        <v>1171.80085019739</v>
      </c>
      <c r="CF45" s="22" t="n">
        <f aca="false">CF44*Supuestos!$B$48</f>
        <v>130.200094466377</v>
      </c>
      <c r="CG45" s="22" t="n">
        <f aca="false">CG44*Supuestos!$B$48</f>
        <v>0</v>
      </c>
      <c r="CH45" s="22" t="n">
        <f aca="false">CH44*Supuestos!$B$48</f>
        <v>0</v>
      </c>
    </row>
    <row r="46" customFormat="false" ht="15" hidden="false" customHeight="false" outlineLevel="0" collapsed="false">
      <c r="A46" s="6" t="s">
        <v>187</v>
      </c>
      <c r="B46" s="9" t="n">
        <f aca="false">SUM(C46:CH46)</f>
        <v>2304530.36236253</v>
      </c>
      <c r="C46" s="22" t="n">
        <f aca="false">C44*(1-Supuestos!$B$48)*Supuestos!$B$49</f>
        <v>0</v>
      </c>
      <c r="D46" s="22" t="n">
        <f aca="false">D44*(1-Supuestos!$B$48)*Supuestos!$B$49</f>
        <v>0</v>
      </c>
      <c r="E46" s="22" t="n">
        <f aca="false">E44*(1-Supuestos!$B$48)*Supuestos!$B$49</f>
        <v>0</v>
      </c>
      <c r="F46" s="22" t="n">
        <f aca="false">F44*(1-Supuestos!$B$48)*Supuestos!$B$49</f>
        <v>0</v>
      </c>
      <c r="G46" s="22" t="n">
        <f aca="false">G44*(1-Supuestos!$B$48)*Supuestos!$B$49</f>
        <v>0</v>
      </c>
      <c r="H46" s="22" t="n">
        <f aca="false">H44*(1-Supuestos!$B$48)*Supuestos!$B$49</f>
        <v>0</v>
      </c>
      <c r="I46" s="22" t="n">
        <f aca="false">I44*(1-Supuestos!$B$48)*Supuestos!$B$49</f>
        <v>0</v>
      </c>
      <c r="J46" s="22" t="n">
        <f aca="false">J44*(1-Supuestos!$B$48)*Supuestos!$B$49</f>
        <v>0</v>
      </c>
      <c r="K46" s="22" t="n">
        <f aca="false">K44*(1-Supuestos!$B$48)*Supuestos!$B$49</f>
        <v>0</v>
      </c>
      <c r="L46" s="22" t="n">
        <f aca="false">L44*(1-Supuestos!$B$48)*Supuestos!$B$49</f>
        <v>0</v>
      </c>
      <c r="M46" s="22" t="n">
        <f aca="false">M44*(1-Supuestos!$B$48)*Supuestos!$B$49</f>
        <v>0</v>
      </c>
      <c r="N46" s="22" t="n">
        <f aca="false">N44*(1-Supuestos!$B$48)*Supuestos!$B$49</f>
        <v>0</v>
      </c>
      <c r="O46" s="22" t="n">
        <f aca="false">O44*(1-Supuestos!$B$48)*Supuestos!$B$49</f>
        <v>0</v>
      </c>
      <c r="P46" s="22" t="n">
        <f aca="false">P44*(1-Supuestos!$B$48)*Supuestos!$B$49</f>
        <v>0</v>
      </c>
      <c r="Q46" s="22" t="n">
        <f aca="false">Q44*(1-Supuestos!$B$48)*Supuestos!$B$49</f>
        <v>0</v>
      </c>
      <c r="R46" s="22" t="n">
        <f aca="false">R44*(1-Supuestos!$B$48)*Supuestos!$B$49</f>
        <v>0</v>
      </c>
      <c r="S46" s="22" t="n">
        <f aca="false">S44*(1-Supuestos!$B$48)*Supuestos!$B$49</f>
        <v>0</v>
      </c>
      <c r="T46" s="22" t="n">
        <f aca="false">T44*(1-Supuestos!$B$48)*Supuestos!$B$49</f>
        <v>0</v>
      </c>
      <c r="U46" s="22" t="n">
        <f aca="false">U44*(1-Supuestos!$B$48)*Supuestos!$B$49</f>
        <v>0</v>
      </c>
      <c r="V46" s="22" t="n">
        <f aca="false">V44*(1-Supuestos!$B$48)*Supuestos!$B$49</f>
        <v>0</v>
      </c>
      <c r="W46" s="22" t="n">
        <f aca="false">W44*(1-Supuestos!$B$48)*Supuestos!$B$49</f>
        <v>0</v>
      </c>
      <c r="X46" s="22" t="n">
        <f aca="false">X44*(1-Supuestos!$B$48)*Supuestos!$B$49</f>
        <v>0</v>
      </c>
      <c r="Y46" s="22" t="n">
        <f aca="false">Y44*(1-Supuestos!$B$48)*Supuestos!$B$49</f>
        <v>0</v>
      </c>
      <c r="Z46" s="22" t="n">
        <f aca="false">Z44*(1-Supuestos!$B$48)*Supuestos!$B$49</f>
        <v>707825.528761641</v>
      </c>
      <c r="AA46" s="22" t="n">
        <f aca="false">AA44*(1-Supuestos!$B$48)*Supuestos!$B$49</f>
        <v>23287.8628190775</v>
      </c>
      <c r="AB46" s="22" t="n">
        <f aca="false">AB44*(1-Supuestos!$B$48)*Supuestos!$B$49</f>
        <v>24545.2237313528</v>
      </c>
      <c r="AC46" s="22" t="n">
        <f aca="false">AC44*(1-Supuestos!$B$48)*Supuestos!$B$49</f>
        <v>25802.5846436281</v>
      </c>
      <c r="AD46" s="22" t="n">
        <f aca="false">AD44*(1-Supuestos!$B$48)*Supuestos!$B$49</f>
        <v>27059.9455559034</v>
      </c>
      <c r="AE46" s="22" t="n">
        <f aca="false">AE44*(1-Supuestos!$B$48)*Supuestos!$B$49</f>
        <v>28317.3064681787</v>
      </c>
      <c r="AF46" s="22" t="n">
        <f aca="false">AF44*(1-Supuestos!$B$48)*Supuestos!$B$49</f>
        <v>29574.667380454</v>
      </c>
      <c r="AG46" s="22" t="n">
        <f aca="false">AG44*(1-Supuestos!$B$48)*Supuestos!$B$49</f>
        <v>30832.0282927293</v>
      </c>
      <c r="AH46" s="22" t="n">
        <f aca="false">AH44*(1-Supuestos!$B$48)*Supuestos!$B$49</f>
        <v>32089.3892050046</v>
      </c>
      <c r="AI46" s="22" t="n">
        <f aca="false">AI44*(1-Supuestos!$B$48)*Supuestos!$B$49</f>
        <v>33346.7501172799</v>
      </c>
      <c r="AJ46" s="22" t="n">
        <f aca="false">AJ44*(1-Supuestos!$B$48)*Supuestos!$B$49</f>
        <v>34604.1110295552</v>
      </c>
      <c r="AK46" s="22" t="n">
        <f aca="false">AK44*(1-Supuestos!$B$48)*Supuestos!$B$49</f>
        <v>35861.4719418305</v>
      </c>
      <c r="AL46" s="22" t="n">
        <f aca="false">AL44*(1-Supuestos!$B$48)*Supuestos!$B$49</f>
        <v>37118.8328541058</v>
      </c>
      <c r="AM46" s="22" t="n">
        <f aca="false">AM44*(1-Supuestos!$B$48)*Supuestos!$B$49</f>
        <v>38376.1937663811</v>
      </c>
      <c r="AN46" s="22" t="n">
        <f aca="false">AN44*(1-Supuestos!$B$48)*Supuestos!$B$49</f>
        <v>39633.5546786563</v>
      </c>
      <c r="AO46" s="22" t="n">
        <f aca="false">AO44*(1-Supuestos!$B$48)*Supuestos!$B$49</f>
        <v>40890.9155909316</v>
      </c>
      <c r="AP46" s="22" t="n">
        <f aca="false">AP44*(1-Supuestos!$B$48)*Supuestos!$B$49</f>
        <v>42148.2765032069</v>
      </c>
      <c r="AQ46" s="22" t="n">
        <f aca="false">AQ44*(1-Supuestos!$B$48)*Supuestos!$B$49</f>
        <v>43405.6374154823</v>
      </c>
      <c r="AR46" s="22" t="n">
        <f aca="false">AR44*(1-Supuestos!$B$48)*Supuestos!$B$49</f>
        <v>44662.9983277575</v>
      </c>
      <c r="AS46" s="22" t="n">
        <f aca="false">AS44*(1-Supuestos!$B$48)*Supuestos!$B$49</f>
        <v>45920.3592400328</v>
      </c>
      <c r="AT46" s="22" t="n">
        <f aca="false">AT44*(1-Supuestos!$B$48)*Supuestos!$B$49</f>
        <v>47177.7201523081</v>
      </c>
      <c r="AU46" s="22" t="n">
        <f aca="false">AU44*(1-Supuestos!$B$48)*Supuestos!$B$49</f>
        <v>48435.0810645834</v>
      </c>
      <c r="AV46" s="22" t="n">
        <f aca="false">AV44*(1-Supuestos!$B$48)*Supuestos!$B$49</f>
        <v>45818.4239837791</v>
      </c>
      <c r="AW46" s="22" t="n">
        <f aca="false">AW44*(1-Supuestos!$B$48)*Supuestos!$B$49</f>
        <v>44164.8020436697</v>
      </c>
      <c r="AX46" s="22" t="n">
        <f aca="false">AX44*(1-Supuestos!$B$48)*Supuestos!$B$49</f>
        <v>42907.4411313944</v>
      </c>
      <c r="AY46" s="22" t="n">
        <f aca="false">AY44*(1-Supuestos!$B$48)*Supuestos!$B$49</f>
        <v>41650.0802191192</v>
      </c>
      <c r="AZ46" s="22" t="n">
        <f aca="false">AZ44*(1-Supuestos!$B$48)*Supuestos!$B$49</f>
        <v>40392.7193068438</v>
      </c>
      <c r="BA46" s="22" t="n">
        <f aca="false">BA44*(1-Supuestos!$B$48)*Supuestos!$B$49</f>
        <v>39135.3583945685</v>
      </c>
      <c r="BB46" s="22" t="n">
        <f aca="false">BB44*(1-Supuestos!$B$48)*Supuestos!$B$49</f>
        <v>37877.9974822932</v>
      </c>
      <c r="BC46" s="22" t="n">
        <f aca="false">BC44*(1-Supuestos!$B$48)*Supuestos!$B$49</f>
        <v>36620.636570018</v>
      </c>
      <c r="BD46" s="22" t="n">
        <f aca="false">BD44*(1-Supuestos!$B$48)*Supuestos!$B$49</f>
        <v>35363.2756577427</v>
      </c>
      <c r="BE46" s="22" t="n">
        <f aca="false">BE44*(1-Supuestos!$B$48)*Supuestos!$B$49</f>
        <v>34105.9147454674</v>
      </c>
      <c r="BF46" s="22" t="n">
        <f aca="false">BF44*(1-Supuestos!$B$48)*Supuestos!$B$49</f>
        <v>32848.5538331921</v>
      </c>
      <c r="BG46" s="22" t="n">
        <f aca="false">BG44*(1-Supuestos!$B$48)*Supuestos!$B$49</f>
        <v>31591.1929209168</v>
      </c>
      <c r="BH46" s="22" t="n">
        <f aca="false">BH44*(1-Supuestos!$B$48)*Supuestos!$B$49</f>
        <v>30333.8320086415</v>
      </c>
      <c r="BI46" s="22" t="n">
        <f aca="false">BI44*(1-Supuestos!$B$48)*Supuestos!$B$49</f>
        <v>29076.4710963662</v>
      </c>
      <c r="BJ46" s="22" t="n">
        <f aca="false">BJ44*(1-Supuestos!$B$48)*Supuestos!$B$49</f>
        <v>27819.1101840909</v>
      </c>
      <c r="BK46" s="22" t="n">
        <f aca="false">BK44*(1-Supuestos!$B$48)*Supuestos!$B$49</f>
        <v>26561.7492718156</v>
      </c>
      <c r="BL46" s="22" t="n">
        <f aca="false">BL44*(1-Supuestos!$B$48)*Supuestos!$B$49</f>
        <v>25304.3883595403</v>
      </c>
      <c r="BM46" s="22" t="n">
        <f aca="false">BM44*(1-Supuestos!$B$48)*Supuestos!$B$49</f>
        <v>24047.027447265</v>
      </c>
      <c r="BN46" s="22" t="n">
        <f aca="false">BN44*(1-Supuestos!$B$48)*Supuestos!$B$49</f>
        <v>22789.6665349897</v>
      </c>
      <c r="BO46" s="22" t="n">
        <f aca="false">BO44*(1-Supuestos!$B$48)*Supuestos!$B$49</f>
        <v>21532.3056227144</v>
      </c>
      <c r="BP46" s="22" t="n">
        <f aca="false">BP44*(1-Supuestos!$B$48)*Supuestos!$B$49</f>
        <v>20274.9447104391</v>
      </c>
      <c r="BQ46" s="22" t="n">
        <f aca="false">BQ44*(1-Supuestos!$B$48)*Supuestos!$B$49</f>
        <v>19017.5837981638</v>
      </c>
      <c r="BR46" s="22" t="n">
        <f aca="false">BR44*(1-Supuestos!$B$48)*Supuestos!$B$49</f>
        <v>17760.2228858885</v>
      </c>
      <c r="BS46" s="22" t="n">
        <f aca="false">BS44*(1-Supuestos!$B$48)*Supuestos!$B$49</f>
        <v>16502.8619736132</v>
      </c>
      <c r="BT46" s="22" t="n">
        <f aca="false">BT44*(1-Supuestos!$B$48)*Supuestos!$B$49</f>
        <v>15245.5010613379</v>
      </c>
      <c r="BU46" s="22" t="n">
        <f aca="false">BU44*(1-Supuestos!$B$48)*Supuestos!$B$49</f>
        <v>13988.1401490627</v>
      </c>
      <c r="BV46" s="22" t="n">
        <f aca="false">BV44*(1-Supuestos!$B$48)*Supuestos!$B$49</f>
        <v>12730.7792367874</v>
      </c>
      <c r="BW46" s="22" t="n">
        <f aca="false">BW44*(1-Supuestos!$B$48)*Supuestos!$B$49</f>
        <v>11473.4183245121</v>
      </c>
      <c r="BX46" s="22" t="n">
        <f aca="false">BX44*(1-Supuestos!$B$48)*Supuestos!$B$49</f>
        <v>10216.0574122368</v>
      </c>
      <c r="BY46" s="22" t="n">
        <f aca="false">BY44*(1-Supuestos!$B$48)*Supuestos!$B$49</f>
        <v>8958.69649996147</v>
      </c>
      <c r="BZ46" s="22" t="n">
        <f aca="false">BZ44*(1-Supuestos!$B$48)*Supuestos!$B$49</f>
        <v>7701.33558768618</v>
      </c>
      <c r="CA46" s="22" t="n">
        <f aca="false">CA44*(1-Supuestos!$B$48)*Supuestos!$B$49</f>
        <v>6443.97467541089</v>
      </c>
      <c r="CB46" s="22" t="n">
        <f aca="false">CB44*(1-Supuestos!$B$48)*Supuestos!$B$49</f>
        <v>5186.61376313559</v>
      </c>
      <c r="CC46" s="22" t="n">
        <f aca="false">CC44*(1-Supuestos!$B$48)*Supuestos!$B$49</f>
        <v>3929.2528508603</v>
      </c>
      <c r="CD46" s="22" t="n">
        <f aca="false">CD44*(1-Supuestos!$B$48)*Supuestos!$B$49</f>
        <v>2671.891938585</v>
      </c>
      <c r="CE46" s="22" t="n">
        <f aca="false">CE44*(1-Supuestos!$B$48)*Supuestos!$B$49</f>
        <v>1414.53102630971</v>
      </c>
      <c r="CF46" s="22" t="n">
        <f aca="false">CF44*(1-Supuestos!$B$48)*Supuestos!$B$49</f>
        <v>157.170114034412</v>
      </c>
      <c r="CG46" s="22" t="n">
        <f aca="false">CG44*(1-Supuestos!$B$48)*Supuestos!$B$49</f>
        <v>0</v>
      </c>
      <c r="CH46" s="22" t="n">
        <f aca="false">CH44*(1-Supuestos!$B$48)*Supuestos!$B$49</f>
        <v>0</v>
      </c>
    </row>
    <row r="47" customFormat="false" ht="15" hidden="false" customHeight="false" outlineLevel="0" collapsed="false">
      <c r="A47" s="6" t="s">
        <v>188</v>
      </c>
      <c r="B47" s="9" t="n">
        <f aca="false">SUM(C47:CH47)</f>
        <v>1240900.96434906</v>
      </c>
      <c r="C47" s="22" t="n">
        <f aca="false">C44*(1-Supuestos!$B$48)*(1-Supuestos!$B$49)</f>
        <v>0</v>
      </c>
      <c r="D47" s="22" t="n">
        <f aca="false">D44*(1-Supuestos!$B$48)*(1-Supuestos!$B$49)</f>
        <v>0</v>
      </c>
      <c r="E47" s="22" t="n">
        <f aca="false">E44*(1-Supuestos!$B$48)*(1-Supuestos!$B$49)</f>
        <v>0</v>
      </c>
      <c r="F47" s="22" t="n">
        <f aca="false">F44*(1-Supuestos!$B$48)*(1-Supuestos!$B$49)</f>
        <v>0</v>
      </c>
      <c r="G47" s="22" t="n">
        <f aca="false">G44*(1-Supuestos!$B$48)*(1-Supuestos!$B$49)</f>
        <v>0</v>
      </c>
      <c r="H47" s="22" t="n">
        <f aca="false">H44*(1-Supuestos!$B$48)*(1-Supuestos!$B$49)</f>
        <v>0</v>
      </c>
      <c r="I47" s="22" t="n">
        <f aca="false">I44*(1-Supuestos!$B$48)*(1-Supuestos!$B$49)</f>
        <v>0</v>
      </c>
      <c r="J47" s="22" t="n">
        <f aca="false">J44*(1-Supuestos!$B$48)*(1-Supuestos!$B$49)</f>
        <v>0</v>
      </c>
      <c r="K47" s="22" t="n">
        <f aca="false">K44*(1-Supuestos!$B$48)*(1-Supuestos!$B$49)</f>
        <v>0</v>
      </c>
      <c r="L47" s="22" t="n">
        <f aca="false">L44*(1-Supuestos!$B$48)*(1-Supuestos!$B$49)</f>
        <v>0</v>
      </c>
      <c r="M47" s="22" t="n">
        <f aca="false">M44*(1-Supuestos!$B$48)*(1-Supuestos!$B$49)</f>
        <v>0</v>
      </c>
      <c r="N47" s="22" t="n">
        <f aca="false">N44*(1-Supuestos!$B$48)*(1-Supuestos!$B$49)</f>
        <v>0</v>
      </c>
      <c r="O47" s="22" t="n">
        <f aca="false">O44*(1-Supuestos!$B$48)*(1-Supuestos!$B$49)</f>
        <v>0</v>
      </c>
      <c r="P47" s="22" t="n">
        <f aca="false">P44*(1-Supuestos!$B$48)*(1-Supuestos!$B$49)</f>
        <v>0</v>
      </c>
      <c r="Q47" s="22" t="n">
        <f aca="false">Q44*(1-Supuestos!$B$48)*(1-Supuestos!$B$49)</f>
        <v>0</v>
      </c>
      <c r="R47" s="22" t="n">
        <f aca="false">R44*(1-Supuestos!$B$48)*(1-Supuestos!$B$49)</f>
        <v>0</v>
      </c>
      <c r="S47" s="22" t="n">
        <f aca="false">S44*(1-Supuestos!$B$48)*(1-Supuestos!$B$49)</f>
        <v>0</v>
      </c>
      <c r="T47" s="22" t="n">
        <f aca="false">T44*(1-Supuestos!$B$48)*(1-Supuestos!$B$49)</f>
        <v>0</v>
      </c>
      <c r="U47" s="22" t="n">
        <f aca="false">U44*(1-Supuestos!$B$48)*(1-Supuestos!$B$49)</f>
        <v>0</v>
      </c>
      <c r="V47" s="22" t="n">
        <f aca="false">V44*(1-Supuestos!$B$48)*(1-Supuestos!$B$49)</f>
        <v>0</v>
      </c>
      <c r="W47" s="22" t="n">
        <f aca="false">W44*(1-Supuestos!$B$48)*(1-Supuestos!$B$49)</f>
        <v>0</v>
      </c>
      <c r="X47" s="22" t="n">
        <f aca="false">X44*(1-Supuestos!$B$48)*(1-Supuestos!$B$49)</f>
        <v>0</v>
      </c>
      <c r="Y47" s="22" t="n">
        <f aca="false">Y44*(1-Supuestos!$B$48)*(1-Supuestos!$B$49)</f>
        <v>0</v>
      </c>
      <c r="Z47" s="22" t="n">
        <f aca="false">Z44*(1-Supuestos!$B$48)*(1-Supuestos!$B$49)</f>
        <v>381136.823179345</v>
      </c>
      <c r="AA47" s="22" t="n">
        <f aca="false">AA44*(1-Supuestos!$B$48)*(1-Supuestos!$B$49)</f>
        <v>12539.6184410417</v>
      </c>
      <c r="AB47" s="22" t="n">
        <f aca="false">AB44*(1-Supuestos!$B$48)*(1-Supuestos!$B$49)</f>
        <v>13216.6589322669</v>
      </c>
      <c r="AC47" s="22" t="n">
        <f aca="false">AC44*(1-Supuestos!$B$48)*(1-Supuestos!$B$49)</f>
        <v>13893.6994234921</v>
      </c>
      <c r="AD47" s="22" t="n">
        <f aca="false">AD44*(1-Supuestos!$B$48)*(1-Supuestos!$B$49)</f>
        <v>14570.7399147172</v>
      </c>
      <c r="AE47" s="22" t="n">
        <f aca="false">AE44*(1-Supuestos!$B$48)*(1-Supuestos!$B$49)</f>
        <v>15247.7804059424</v>
      </c>
      <c r="AF47" s="22" t="n">
        <f aca="false">AF44*(1-Supuestos!$B$48)*(1-Supuestos!$B$49)</f>
        <v>15924.8208971675</v>
      </c>
      <c r="AG47" s="22" t="n">
        <f aca="false">AG44*(1-Supuestos!$B$48)*(1-Supuestos!$B$49)</f>
        <v>16601.8613883927</v>
      </c>
      <c r="AH47" s="22" t="n">
        <f aca="false">AH44*(1-Supuestos!$B$48)*(1-Supuestos!$B$49)</f>
        <v>17278.9018796179</v>
      </c>
      <c r="AI47" s="22" t="n">
        <f aca="false">AI44*(1-Supuestos!$B$48)*(1-Supuestos!$B$49)</f>
        <v>17955.942370843</v>
      </c>
      <c r="AJ47" s="22" t="n">
        <f aca="false">AJ44*(1-Supuestos!$B$48)*(1-Supuestos!$B$49)</f>
        <v>18632.9828620682</v>
      </c>
      <c r="AK47" s="22" t="n">
        <f aca="false">AK44*(1-Supuestos!$B$48)*(1-Supuestos!$B$49)</f>
        <v>19310.0233532933</v>
      </c>
      <c r="AL47" s="22" t="n">
        <f aca="false">AL44*(1-Supuestos!$B$48)*(1-Supuestos!$B$49)</f>
        <v>19987.0638445185</v>
      </c>
      <c r="AM47" s="22" t="n">
        <f aca="false">AM44*(1-Supuestos!$B$48)*(1-Supuestos!$B$49)</f>
        <v>20664.1043357436</v>
      </c>
      <c r="AN47" s="22" t="n">
        <f aca="false">AN44*(1-Supuestos!$B$48)*(1-Supuestos!$B$49)</f>
        <v>21341.1448269688</v>
      </c>
      <c r="AO47" s="22" t="n">
        <f aca="false">AO44*(1-Supuestos!$B$48)*(1-Supuestos!$B$49)</f>
        <v>22018.185318194</v>
      </c>
      <c r="AP47" s="22" t="n">
        <f aca="false">AP44*(1-Supuestos!$B$48)*(1-Supuestos!$B$49)</f>
        <v>22695.2258094191</v>
      </c>
      <c r="AQ47" s="22" t="n">
        <f aca="false">AQ44*(1-Supuestos!$B$48)*(1-Supuestos!$B$49)</f>
        <v>23372.2663006443</v>
      </c>
      <c r="AR47" s="22" t="n">
        <f aca="false">AR44*(1-Supuestos!$B$48)*(1-Supuestos!$B$49)</f>
        <v>24049.3067918694</v>
      </c>
      <c r="AS47" s="22" t="n">
        <f aca="false">AS44*(1-Supuestos!$B$48)*(1-Supuestos!$B$49)</f>
        <v>24726.3472830946</v>
      </c>
      <c r="AT47" s="22" t="n">
        <f aca="false">AT44*(1-Supuestos!$B$48)*(1-Supuestos!$B$49)</f>
        <v>25403.3877743198</v>
      </c>
      <c r="AU47" s="22" t="n">
        <f aca="false">AU44*(1-Supuestos!$B$48)*(1-Supuestos!$B$49)</f>
        <v>26080.4282655449</v>
      </c>
      <c r="AV47" s="22" t="n">
        <f aca="false">AV44*(1-Supuestos!$B$48)*(1-Supuestos!$B$49)</f>
        <v>24671.4590681888</v>
      </c>
      <c r="AW47" s="22" t="n">
        <f aca="false">AW44*(1-Supuestos!$B$48)*(1-Supuestos!$B$49)</f>
        <v>23781.0472542837</v>
      </c>
      <c r="AX47" s="22" t="n">
        <f aca="false">AX44*(1-Supuestos!$B$48)*(1-Supuestos!$B$49)</f>
        <v>23104.0067630585</v>
      </c>
      <c r="AY47" s="22" t="n">
        <f aca="false">AY44*(1-Supuestos!$B$48)*(1-Supuestos!$B$49)</f>
        <v>22426.9662718334</v>
      </c>
      <c r="AZ47" s="22" t="n">
        <f aca="false">AZ44*(1-Supuestos!$B$48)*(1-Supuestos!$B$49)</f>
        <v>21749.9257806082</v>
      </c>
      <c r="BA47" s="22" t="n">
        <f aca="false">BA44*(1-Supuestos!$B$48)*(1-Supuestos!$B$49)</f>
        <v>21072.8852893831</v>
      </c>
      <c r="BB47" s="22" t="n">
        <f aca="false">BB44*(1-Supuestos!$B$48)*(1-Supuestos!$B$49)</f>
        <v>20395.8447981579</v>
      </c>
      <c r="BC47" s="22" t="n">
        <f aca="false">BC44*(1-Supuestos!$B$48)*(1-Supuestos!$B$49)</f>
        <v>19718.8043069327</v>
      </c>
      <c r="BD47" s="22" t="n">
        <f aca="false">BD44*(1-Supuestos!$B$48)*(1-Supuestos!$B$49)</f>
        <v>19041.7638157076</v>
      </c>
      <c r="BE47" s="22" t="n">
        <f aca="false">BE44*(1-Supuestos!$B$48)*(1-Supuestos!$B$49)</f>
        <v>18364.7233244824</v>
      </c>
      <c r="BF47" s="22" t="n">
        <f aca="false">BF44*(1-Supuestos!$B$48)*(1-Supuestos!$B$49)</f>
        <v>17687.6828332573</v>
      </c>
      <c r="BG47" s="22" t="n">
        <f aca="false">BG44*(1-Supuestos!$B$48)*(1-Supuestos!$B$49)</f>
        <v>17010.6423420321</v>
      </c>
      <c r="BH47" s="22" t="n">
        <f aca="false">BH44*(1-Supuestos!$B$48)*(1-Supuestos!$B$49)</f>
        <v>16333.601850807</v>
      </c>
      <c r="BI47" s="22" t="n">
        <f aca="false">BI44*(1-Supuestos!$B$48)*(1-Supuestos!$B$49)</f>
        <v>15656.5613595818</v>
      </c>
      <c r="BJ47" s="22" t="n">
        <f aca="false">BJ44*(1-Supuestos!$B$48)*(1-Supuestos!$B$49)</f>
        <v>14979.5208683566</v>
      </c>
      <c r="BK47" s="22" t="n">
        <f aca="false">BK44*(1-Supuestos!$B$48)*(1-Supuestos!$B$49)</f>
        <v>14302.4803771315</v>
      </c>
      <c r="BL47" s="22" t="n">
        <f aca="false">BL44*(1-Supuestos!$B$48)*(1-Supuestos!$B$49)</f>
        <v>13625.4398859063</v>
      </c>
      <c r="BM47" s="22" t="n">
        <f aca="false">BM44*(1-Supuestos!$B$48)*(1-Supuestos!$B$49)</f>
        <v>12948.3993946812</v>
      </c>
      <c r="BN47" s="22" t="n">
        <f aca="false">BN44*(1-Supuestos!$B$48)*(1-Supuestos!$B$49)</f>
        <v>12271.358903456</v>
      </c>
      <c r="BO47" s="22" t="n">
        <f aca="false">BO44*(1-Supuestos!$B$48)*(1-Supuestos!$B$49)</f>
        <v>11594.3184122308</v>
      </c>
      <c r="BP47" s="22" t="n">
        <f aca="false">BP44*(1-Supuestos!$B$48)*(1-Supuestos!$B$49)</f>
        <v>10917.2779210057</v>
      </c>
      <c r="BQ47" s="22" t="n">
        <f aca="false">BQ44*(1-Supuestos!$B$48)*(1-Supuestos!$B$49)</f>
        <v>10240.2374297805</v>
      </c>
      <c r="BR47" s="22" t="n">
        <f aca="false">BR44*(1-Supuestos!$B$48)*(1-Supuestos!$B$49)</f>
        <v>9563.19693855537</v>
      </c>
      <c r="BS47" s="22" t="n">
        <f aca="false">BS44*(1-Supuestos!$B$48)*(1-Supuestos!$B$49)</f>
        <v>8886.15644733021</v>
      </c>
      <c r="BT47" s="22" t="n">
        <f aca="false">BT44*(1-Supuestos!$B$48)*(1-Supuestos!$B$49)</f>
        <v>8209.11595610505</v>
      </c>
      <c r="BU47" s="22" t="n">
        <f aca="false">BU44*(1-Supuestos!$B$48)*(1-Supuestos!$B$49)</f>
        <v>7532.07546487989</v>
      </c>
      <c r="BV47" s="22" t="n">
        <f aca="false">BV44*(1-Supuestos!$B$48)*(1-Supuestos!$B$49)</f>
        <v>6855.03497365473</v>
      </c>
      <c r="BW47" s="22" t="n">
        <f aca="false">BW44*(1-Supuestos!$B$48)*(1-Supuestos!$B$49)</f>
        <v>6177.99448242957</v>
      </c>
      <c r="BX47" s="22" t="n">
        <f aca="false">BX44*(1-Supuestos!$B$48)*(1-Supuestos!$B$49)</f>
        <v>5500.95399120442</v>
      </c>
      <c r="BY47" s="22" t="n">
        <f aca="false">BY44*(1-Supuestos!$B$48)*(1-Supuestos!$B$49)</f>
        <v>4823.91349997926</v>
      </c>
      <c r="BZ47" s="22" t="n">
        <f aca="false">BZ44*(1-Supuestos!$B$48)*(1-Supuestos!$B$49)</f>
        <v>4146.8730087541</v>
      </c>
      <c r="CA47" s="22" t="n">
        <f aca="false">CA44*(1-Supuestos!$B$48)*(1-Supuestos!$B$49)</f>
        <v>3469.83251752894</v>
      </c>
      <c r="CB47" s="22" t="n">
        <f aca="false">CB44*(1-Supuestos!$B$48)*(1-Supuestos!$B$49)</f>
        <v>2792.79202630378</v>
      </c>
      <c r="CC47" s="22" t="n">
        <f aca="false">CC44*(1-Supuestos!$B$48)*(1-Supuestos!$B$49)</f>
        <v>2115.75153507862</v>
      </c>
      <c r="CD47" s="22" t="n">
        <f aca="false">CD44*(1-Supuestos!$B$48)*(1-Supuestos!$B$49)</f>
        <v>1438.71104385346</v>
      </c>
      <c r="CE47" s="22" t="n">
        <f aca="false">CE44*(1-Supuestos!$B$48)*(1-Supuestos!$B$49)</f>
        <v>761.670552628303</v>
      </c>
      <c r="CF47" s="22" t="n">
        <f aca="false">CF44*(1-Supuestos!$B$48)*(1-Supuestos!$B$49)</f>
        <v>84.6300614031448</v>
      </c>
      <c r="CG47" s="22" t="n">
        <f aca="false">CG44*(1-Supuestos!$B$48)*(1-Supuestos!$B$49)</f>
        <v>0</v>
      </c>
      <c r="CH47" s="22" t="n">
        <f aca="false">CH44*(1-Supuestos!$B$48)*(1-Supuestos!$B$49)</f>
        <v>0</v>
      </c>
    </row>
    <row r="48" customFormat="false" ht="15" hidden="false" customHeight="false" outlineLevel="0" collapsed="false">
      <c r="A48" s="8" t="s">
        <v>189</v>
      </c>
      <c r="B48" s="9" t="n">
        <f aca="false">SUM(C48:CH48)</f>
        <v>1909078.40669086</v>
      </c>
      <c r="C48" s="9" t="n">
        <f aca="false">-C34+C43+C45</f>
        <v>-500000</v>
      </c>
      <c r="D48" s="9" t="n">
        <f aca="false">-D34+D43+D45</f>
        <v>0</v>
      </c>
      <c r="E48" s="9" t="n">
        <f aca="false">-E34+E43+E45</f>
        <v>-500000</v>
      </c>
      <c r="F48" s="9" t="n">
        <f aca="false">-F34+F43+F45</f>
        <v>0</v>
      </c>
      <c r="G48" s="9" t="n">
        <f aca="false">-G34+G43+G45</f>
        <v>-500000</v>
      </c>
      <c r="H48" s="9" t="n">
        <f aca="false">-H34+H43+H45</f>
        <v>0</v>
      </c>
      <c r="I48" s="9" t="n">
        <f aca="false">-I34+I43+I45</f>
        <v>-500000</v>
      </c>
      <c r="J48" s="9" t="n">
        <f aca="false">-J34+J43+J45</f>
        <v>0</v>
      </c>
      <c r="K48" s="9" t="n">
        <f aca="false">-K34+K43+K45</f>
        <v>0</v>
      </c>
      <c r="L48" s="9" t="n">
        <f aca="false">-L34+L43+L45</f>
        <v>0</v>
      </c>
      <c r="M48" s="9" t="n">
        <f aca="false">-M34+M43+M45</f>
        <v>0</v>
      </c>
      <c r="N48" s="9" t="n">
        <f aca="false">-N34+N43+N45</f>
        <v>0</v>
      </c>
      <c r="O48" s="9" t="n">
        <f aca="false">-O34+O43+O45</f>
        <v>0</v>
      </c>
      <c r="P48" s="9" t="n">
        <f aca="false">-P34+P43+P45</f>
        <v>0</v>
      </c>
      <c r="Q48" s="9" t="n">
        <f aca="false">-Q34+Q43+Q45</f>
        <v>0</v>
      </c>
      <c r="R48" s="9" t="n">
        <f aca="false">-R34+R43+R45</f>
        <v>0</v>
      </c>
      <c r="S48" s="9" t="n">
        <f aca="false">-S34+S43+S45</f>
        <v>0</v>
      </c>
      <c r="T48" s="9" t="n">
        <f aca="false">-T34+T43+T45</f>
        <v>0</v>
      </c>
      <c r="U48" s="9" t="n">
        <f aca="false">-U34+U43+U45</f>
        <v>0</v>
      </c>
      <c r="V48" s="9" t="n">
        <f aca="false">-V34+V43+V45</f>
        <v>0</v>
      </c>
      <c r="W48" s="9" t="n">
        <f aca="false">-W34+W43+W45</f>
        <v>0</v>
      </c>
      <c r="X48" s="9" t="n">
        <f aca="false">-X34+X43+X45</f>
        <v>0</v>
      </c>
      <c r="Y48" s="9" t="n">
        <f aca="false">-Y34+Y43+Y45</f>
        <v>0</v>
      </c>
      <c r="Z48" s="9" t="n">
        <f aca="false">-Z34+Z43+Z45</f>
        <v>2586364.34335284</v>
      </c>
      <c r="AA48" s="9" t="n">
        <f aca="false">-AA34+AA43+AA45</f>
        <v>19291.7206785257</v>
      </c>
      <c r="AB48" s="9" t="n">
        <f aca="false">-AB34+AB43+AB45</f>
        <v>20333.3214342568</v>
      </c>
      <c r="AC48" s="9" t="n">
        <f aca="false">-AC34+AC43+AC45</f>
        <v>21374.9221899878</v>
      </c>
      <c r="AD48" s="9" t="n">
        <f aca="false">-AD34+AD43+AD45</f>
        <v>22416.5229457188</v>
      </c>
      <c r="AE48" s="9" t="n">
        <f aca="false">-AE34+AE43+AE45</f>
        <v>23458.1237014498</v>
      </c>
      <c r="AF48" s="9" t="n">
        <f aca="false">-AF34+AF43+AF45</f>
        <v>24499.7244571808</v>
      </c>
      <c r="AG48" s="9" t="n">
        <f aca="false">-AG34+AG43+AG45</f>
        <v>25541.3252129119</v>
      </c>
      <c r="AH48" s="9" t="n">
        <f aca="false">-AH34+AH43+AH45</f>
        <v>26582.9259686429</v>
      </c>
      <c r="AI48" s="9" t="n">
        <f aca="false">-AI34+AI43+AI45</f>
        <v>27624.5267243739</v>
      </c>
      <c r="AJ48" s="9" t="n">
        <f aca="false">-AJ34+AJ43+AJ45</f>
        <v>28666.1274801049</v>
      </c>
      <c r="AK48" s="9" t="n">
        <f aca="false">-AK34+AK43+AK45</f>
        <v>29707.7282358359</v>
      </c>
      <c r="AL48" s="9" t="n">
        <f aca="false">-AL34+AL43+AL45</f>
        <v>30749.3289915669</v>
      </c>
      <c r="AM48" s="9" t="n">
        <f aca="false">-AM34+AM43+AM45</f>
        <v>31790.9297472979</v>
      </c>
      <c r="AN48" s="9" t="n">
        <f aca="false">-AN34+AN43+AN45</f>
        <v>32832.5305030289</v>
      </c>
      <c r="AO48" s="9" t="n">
        <f aca="false">-AO34+AO43+AO45</f>
        <v>33874.1312587599</v>
      </c>
      <c r="AP48" s="9" t="n">
        <f aca="false">-AP34+AP43+AP45</f>
        <v>34915.7320144909</v>
      </c>
      <c r="AQ48" s="9" t="n">
        <f aca="false">-AQ34+AQ43+AQ45</f>
        <v>35957.332770222</v>
      </c>
      <c r="AR48" s="9" t="n">
        <f aca="false">-AR34+AR43+AR45</f>
        <v>36998.933525953</v>
      </c>
      <c r="AS48" s="9" t="n">
        <f aca="false">-AS34+AS43+AS45</f>
        <v>38040.534281684</v>
      </c>
      <c r="AT48" s="9" t="n">
        <f aca="false">-AT34+AT43+AT45</f>
        <v>39082.135037415</v>
      </c>
      <c r="AU48" s="9" t="n">
        <f aca="false">-AU34+AU43+AU45</f>
        <v>40123.735793146</v>
      </c>
      <c r="AV48" s="9" t="n">
        <f aca="false">-AV34+AV43+AV45</f>
        <v>37956.0908741366</v>
      </c>
      <c r="AW48" s="9" t="n">
        <f aca="false">-AW34+AW43+AW45</f>
        <v>36586.2265450518</v>
      </c>
      <c r="AX48" s="9" t="n">
        <f aca="false">-AX34+AX43+AX45</f>
        <v>35544.6257893208</v>
      </c>
      <c r="AY48" s="9" t="n">
        <f aca="false">-AY34+AY43+AY45</f>
        <v>34503.0250335898</v>
      </c>
      <c r="AZ48" s="9" t="n">
        <f aca="false">-AZ34+AZ43+AZ45</f>
        <v>33461.4242778588</v>
      </c>
      <c r="BA48" s="9" t="n">
        <f aca="false">-BA34+BA43+BA45</f>
        <v>32419.8235221278</v>
      </c>
      <c r="BB48" s="9" t="n">
        <f aca="false">-BB34+BB43+BB45</f>
        <v>31378.2227663968</v>
      </c>
      <c r="BC48" s="9" t="n">
        <f aca="false">-BC34+BC43+BC45</f>
        <v>30336.6220106658</v>
      </c>
      <c r="BD48" s="9" t="n">
        <f aca="false">-BD34+BD43+BD45</f>
        <v>29295.0212549347</v>
      </c>
      <c r="BE48" s="9" t="n">
        <f aca="false">-BE34+BE43+BE45</f>
        <v>28253.4204992037</v>
      </c>
      <c r="BF48" s="9" t="n">
        <f aca="false">-BF34+BF43+BF45</f>
        <v>27211.8197434727</v>
      </c>
      <c r="BG48" s="9" t="n">
        <f aca="false">-BG34+BG43+BG45</f>
        <v>26170.2189877417</v>
      </c>
      <c r="BH48" s="9" t="n">
        <f aca="false">-BH34+BH43+BH45</f>
        <v>25128.6182320107</v>
      </c>
      <c r="BI48" s="9" t="n">
        <f aca="false">-BI34+BI43+BI45</f>
        <v>24087.0174762797</v>
      </c>
      <c r="BJ48" s="9" t="n">
        <f aca="false">-BJ34+BJ43+BJ45</f>
        <v>23045.4167205487</v>
      </c>
      <c r="BK48" s="9" t="n">
        <f aca="false">-BK34+BK43+BK45</f>
        <v>22003.8159648177</v>
      </c>
      <c r="BL48" s="9" t="n">
        <f aca="false">-BL34+BL43+BL45</f>
        <v>20962.2152090866</v>
      </c>
      <c r="BM48" s="9" t="n">
        <f aca="false">-BM34+BM43+BM45</f>
        <v>19920.6144533556</v>
      </c>
      <c r="BN48" s="9" t="n">
        <f aca="false">-BN34+BN43+BN45</f>
        <v>18879.0136976246</v>
      </c>
      <c r="BO48" s="9" t="n">
        <f aca="false">-BO34+BO43+BO45</f>
        <v>17837.4129418936</v>
      </c>
      <c r="BP48" s="9" t="n">
        <f aca="false">-BP34+BP43+BP45</f>
        <v>16795.8121861626</v>
      </c>
      <c r="BQ48" s="9" t="n">
        <f aca="false">-BQ34+BQ43+BQ45</f>
        <v>15754.2114304316</v>
      </c>
      <c r="BR48" s="9" t="n">
        <f aca="false">-BR34+BR43+BR45</f>
        <v>14712.6106747006</v>
      </c>
      <c r="BS48" s="9" t="n">
        <f aca="false">-BS34+BS43+BS45</f>
        <v>13671.0099189695</v>
      </c>
      <c r="BT48" s="9" t="n">
        <f aca="false">-BT34+BT43+BT45</f>
        <v>12629.4091632385</v>
      </c>
      <c r="BU48" s="9" t="n">
        <f aca="false">-BU34+BU43+BU45</f>
        <v>11587.8084075075</v>
      </c>
      <c r="BV48" s="9" t="n">
        <f aca="false">-BV34+BV43+BV45</f>
        <v>10546.2076517765</v>
      </c>
      <c r="BW48" s="9" t="n">
        <f aca="false">-BW34+BW43+BW45</f>
        <v>9504.6068960455</v>
      </c>
      <c r="BX48" s="9" t="n">
        <f aca="false">-BX34+BX43+BX45</f>
        <v>8463.00614031448</v>
      </c>
      <c r="BY48" s="9" t="n">
        <f aca="false">-BY34+BY43+BY45</f>
        <v>7421.40538458347</v>
      </c>
      <c r="BZ48" s="9" t="n">
        <f aca="false">-BZ34+BZ43+BZ45</f>
        <v>6379.80462885246</v>
      </c>
      <c r="CA48" s="9" t="n">
        <f aca="false">-CA34+CA43+CA45</f>
        <v>5338.20387312144</v>
      </c>
      <c r="CB48" s="9" t="n">
        <f aca="false">-CB34+CB43+CB45</f>
        <v>4296.60311739043</v>
      </c>
      <c r="CC48" s="9" t="n">
        <f aca="false">-CC34+CC43+CC45</f>
        <v>3255.00236165942</v>
      </c>
      <c r="CD48" s="9" t="n">
        <f aca="false">-CD34+CD43+CD45</f>
        <v>2213.4016059284</v>
      </c>
      <c r="CE48" s="9" t="n">
        <f aca="false">-CE34+CE43+CE45</f>
        <v>1171.80085019739</v>
      </c>
      <c r="CF48" s="9" t="n">
        <f aca="false">-CF34+CF43+CF45</f>
        <v>130.200094466377</v>
      </c>
      <c r="CG48" s="9" t="n">
        <f aca="false">-CG34+CG43+CG45</f>
        <v>0</v>
      </c>
      <c r="CH48" s="9" t="n">
        <f aca="false">-CH34+CH43+CH45</f>
        <v>0</v>
      </c>
    </row>
    <row r="49" customFormat="false" ht="15" hidden="false" customHeight="fals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</row>
    <row r="50" customFormat="false" ht="15" hidden="false" customHeight="false" outlineLevel="0" collapsed="false">
      <c r="A50" s="4" t="s">
        <v>190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</row>
    <row r="51" customFormat="false" ht="15" hidden="false" customHeight="false" outlineLevel="0" collapsed="false">
      <c r="A51" s="6" t="s">
        <v>191</v>
      </c>
      <c r="B51" s="9" t="n">
        <f aca="false">SUM(C51:CH51)</f>
        <v>233333.333333333</v>
      </c>
      <c r="C51" s="22" t="n">
        <f aca="false">IF(C$3=Supuestos!$B$44,Supuestos!$B$46*Supuestos!$B$50*(Supuestos!$B$44-4)/12,0)</f>
        <v>0</v>
      </c>
      <c r="D51" s="22" t="n">
        <f aca="false">IF(D$3=Supuestos!$B$44,Supuestos!$B$46*Supuestos!$B$50*(Supuestos!$B$44-4)/12,0)</f>
        <v>0</v>
      </c>
      <c r="E51" s="22" t="n">
        <f aca="false">IF(E$3=Supuestos!$B$44,Supuestos!$B$46*Supuestos!$B$50*(Supuestos!$B$44-4)/12,0)</f>
        <v>0</v>
      </c>
      <c r="F51" s="22" t="n">
        <f aca="false">IF(F$3=Supuestos!$B$44,Supuestos!$B$46*Supuestos!$B$50*(Supuestos!$B$44-4)/12,0)</f>
        <v>0</v>
      </c>
      <c r="G51" s="22" t="n">
        <f aca="false">IF(G$3=Supuestos!$B$44,Supuestos!$B$46*Supuestos!$B$50*(Supuestos!$B$44-4)/12,0)</f>
        <v>0</v>
      </c>
      <c r="H51" s="22" t="n">
        <f aca="false">IF(H$3=Supuestos!$B$44,Supuestos!$B$46*Supuestos!$B$50*(Supuestos!$B$44-4)/12,0)</f>
        <v>0</v>
      </c>
      <c r="I51" s="22" t="n">
        <f aca="false">IF(I$3=Supuestos!$B$44,Supuestos!$B$46*Supuestos!$B$50*(Supuestos!$B$44-4)/12,0)</f>
        <v>0</v>
      </c>
      <c r="J51" s="22" t="n">
        <f aca="false">IF(J$3=Supuestos!$B$44,Supuestos!$B$46*Supuestos!$B$50*(Supuestos!$B$44-4)/12,0)</f>
        <v>0</v>
      </c>
      <c r="K51" s="22" t="n">
        <f aca="false">IF(K$3=Supuestos!$B$44,Supuestos!$B$46*Supuestos!$B$50*(Supuestos!$B$44-4)/12,0)</f>
        <v>0</v>
      </c>
      <c r="L51" s="22" t="n">
        <f aca="false">IF(L$3=Supuestos!$B$44,Supuestos!$B$46*Supuestos!$B$50*(Supuestos!$B$44-4)/12,0)</f>
        <v>0</v>
      </c>
      <c r="M51" s="22" t="n">
        <f aca="false">IF(M$3=Supuestos!$B$44,Supuestos!$B$46*Supuestos!$B$50*(Supuestos!$B$44-4)/12,0)</f>
        <v>0</v>
      </c>
      <c r="N51" s="22" t="n">
        <f aca="false">IF(N$3=Supuestos!$B$44,Supuestos!$B$46*Supuestos!$B$50*(Supuestos!$B$44-4)/12,0)</f>
        <v>0</v>
      </c>
      <c r="O51" s="22" t="n">
        <f aca="false">IF(O$3=Supuestos!$B$44,Supuestos!$B$46*Supuestos!$B$50*(Supuestos!$B$44-4)/12,0)</f>
        <v>0</v>
      </c>
      <c r="P51" s="22" t="n">
        <f aca="false">IF(P$3=Supuestos!$B$44,Supuestos!$B$46*Supuestos!$B$50*(Supuestos!$B$44-4)/12,0)</f>
        <v>0</v>
      </c>
      <c r="Q51" s="22" t="n">
        <f aca="false">IF(Q$3=Supuestos!$B$44,Supuestos!$B$46*Supuestos!$B$50*(Supuestos!$B$44-4)/12,0)</f>
        <v>0</v>
      </c>
      <c r="R51" s="22" t="n">
        <f aca="false">IF(R$3=Supuestos!$B$44,Supuestos!$B$46*Supuestos!$B$50*(Supuestos!$B$44-4)/12,0)</f>
        <v>0</v>
      </c>
      <c r="S51" s="22" t="n">
        <f aca="false">IF(S$3=Supuestos!$B$44,Supuestos!$B$46*Supuestos!$B$50*(Supuestos!$B$44-4)/12,0)</f>
        <v>0</v>
      </c>
      <c r="T51" s="22" t="n">
        <f aca="false">IF(T$3=Supuestos!$B$44,Supuestos!$B$46*Supuestos!$B$50*(Supuestos!$B$44-4)/12,0)</f>
        <v>233333.333333333</v>
      </c>
      <c r="U51" s="22" t="n">
        <f aca="false">IF(U$3=Supuestos!$B$44,Supuestos!$B$46*Supuestos!$B$50*(Supuestos!$B$44-4)/12,0)</f>
        <v>0</v>
      </c>
      <c r="V51" s="22" t="n">
        <f aca="false">IF(V$3=Supuestos!$B$44,Supuestos!$B$46*Supuestos!$B$50*(Supuestos!$B$44-4)/12,0)</f>
        <v>0</v>
      </c>
      <c r="W51" s="22" t="n">
        <f aca="false">IF(W$3=Supuestos!$B$44,Supuestos!$B$46*Supuestos!$B$50*(Supuestos!$B$44-4)/12,0)</f>
        <v>0</v>
      </c>
      <c r="X51" s="22" t="n">
        <f aca="false">IF(X$3=Supuestos!$B$44,Supuestos!$B$46*Supuestos!$B$50*(Supuestos!$B$44-4)/12,0)</f>
        <v>0</v>
      </c>
      <c r="Y51" s="22" t="n">
        <f aca="false">IF(Y$3=Supuestos!$B$44,Supuestos!$B$46*Supuestos!$B$50*(Supuestos!$B$44-4)/12,0)</f>
        <v>0</v>
      </c>
      <c r="Z51" s="22" t="n">
        <f aca="false">IF(Z$3=Supuestos!$B$44,Supuestos!$B$46*Supuestos!$B$50*(Supuestos!$B$44-4)/12,0)</f>
        <v>0</v>
      </c>
      <c r="AA51" s="22" t="n">
        <f aca="false">IF(AA$3=Supuestos!$B$44,Supuestos!$B$46*Supuestos!$B$50*(Supuestos!$B$44-4)/12,0)</f>
        <v>0</v>
      </c>
      <c r="AB51" s="22" t="n">
        <f aca="false">IF(AB$3=Supuestos!$B$44,Supuestos!$B$46*Supuestos!$B$50*(Supuestos!$B$44-4)/12,0)</f>
        <v>0</v>
      </c>
      <c r="AC51" s="22" t="n">
        <f aca="false">IF(AC$3=Supuestos!$B$44,Supuestos!$B$46*Supuestos!$B$50*(Supuestos!$B$44-4)/12,0)</f>
        <v>0</v>
      </c>
      <c r="AD51" s="22" t="n">
        <f aca="false">IF(AD$3=Supuestos!$B$44,Supuestos!$B$46*Supuestos!$B$50*(Supuestos!$B$44-4)/12,0)</f>
        <v>0</v>
      </c>
      <c r="AE51" s="22" t="n">
        <f aca="false">IF(AE$3=Supuestos!$B$44,Supuestos!$B$46*Supuestos!$B$50*(Supuestos!$B$44-4)/12,0)</f>
        <v>0</v>
      </c>
      <c r="AF51" s="22" t="n">
        <f aca="false">IF(AF$3=Supuestos!$B$44,Supuestos!$B$46*Supuestos!$B$50*(Supuestos!$B$44-4)/12,0)</f>
        <v>0</v>
      </c>
      <c r="AG51" s="22" t="n">
        <f aca="false">IF(AG$3=Supuestos!$B$44,Supuestos!$B$46*Supuestos!$B$50*(Supuestos!$B$44-4)/12,0)</f>
        <v>0</v>
      </c>
      <c r="AH51" s="22" t="n">
        <f aca="false">IF(AH$3=Supuestos!$B$44,Supuestos!$B$46*Supuestos!$B$50*(Supuestos!$B$44-4)/12,0)</f>
        <v>0</v>
      </c>
      <c r="AI51" s="22" t="n">
        <f aca="false">IF(AI$3=Supuestos!$B$44,Supuestos!$B$46*Supuestos!$B$50*(Supuestos!$B$44-4)/12,0)</f>
        <v>0</v>
      </c>
      <c r="AJ51" s="22" t="n">
        <f aca="false">IF(AJ$3=Supuestos!$B$44,Supuestos!$B$46*Supuestos!$B$50*(Supuestos!$B$44-4)/12,0)</f>
        <v>0</v>
      </c>
      <c r="AK51" s="22" t="n">
        <f aca="false">IF(AK$3=Supuestos!$B$44,Supuestos!$B$46*Supuestos!$B$50*(Supuestos!$B$44-4)/12,0)</f>
        <v>0</v>
      </c>
      <c r="AL51" s="22" t="n">
        <f aca="false">IF(AL$3=Supuestos!$B$44,Supuestos!$B$46*Supuestos!$B$50*(Supuestos!$B$44-4)/12,0)</f>
        <v>0</v>
      </c>
      <c r="AM51" s="22" t="n">
        <f aca="false">IF(AM$3=Supuestos!$B$44,Supuestos!$B$46*Supuestos!$B$50*(Supuestos!$B$44-4)/12,0)</f>
        <v>0</v>
      </c>
      <c r="AN51" s="22" t="n">
        <f aca="false">IF(AN$3=Supuestos!$B$44,Supuestos!$B$46*Supuestos!$B$50*(Supuestos!$B$44-4)/12,0)</f>
        <v>0</v>
      </c>
      <c r="AO51" s="22" t="n">
        <f aca="false">IF(AO$3=Supuestos!$B$44,Supuestos!$B$46*Supuestos!$B$50*(Supuestos!$B$44-4)/12,0)</f>
        <v>0</v>
      </c>
      <c r="AP51" s="22" t="n">
        <f aca="false">IF(AP$3=Supuestos!$B$44,Supuestos!$B$46*Supuestos!$B$50*(Supuestos!$B$44-4)/12,0)</f>
        <v>0</v>
      </c>
      <c r="AQ51" s="22" t="n">
        <f aca="false">IF(AQ$3=Supuestos!$B$44,Supuestos!$B$46*Supuestos!$B$50*(Supuestos!$B$44-4)/12,0)</f>
        <v>0</v>
      </c>
      <c r="AR51" s="22" t="n">
        <f aca="false">IF(AR$3=Supuestos!$B$44,Supuestos!$B$46*Supuestos!$B$50*(Supuestos!$B$44-4)/12,0)</f>
        <v>0</v>
      </c>
      <c r="AS51" s="22" t="n">
        <f aca="false">IF(AS$3=Supuestos!$B$44,Supuestos!$B$46*Supuestos!$B$50*(Supuestos!$B$44-4)/12,0)</f>
        <v>0</v>
      </c>
      <c r="AT51" s="22" t="n">
        <f aca="false">IF(AT$3=Supuestos!$B$44,Supuestos!$B$46*Supuestos!$B$50*(Supuestos!$B$44-4)/12,0)</f>
        <v>0</v>
      </c>
      <c r="AU51" s="22" t="n">
        <f aca="false">IF(AU$3=Supuestos!$B$44,Supuestos!$B$46*Supuestos!$B$50*(Supuestos!$B$44-4)/12,0)</f>
        <v>0</v>
      </c>
      <c r="AV51" s="22" t="n">
        <f aca="false">IF(AV$3=Supuestos!$B$44,Supuestos!$B$46*Supuestos!$B$50*(Supuestos!$B$44-4)/12,0)</f>
        <v>0</v>
      </c>
      <c r="AW51" s="22" t="n">
        <f aca="false">IF(AW$3=Supuestos!$B$44,Supuestos!$B$46*Supuestos!$B$50*(Supuestos!$B$44-4)/12,0)</f>
        <v>0</v>
      </c>
      <c r="AX51" s="22" t="n">
        <f aca="false">IF(AX$3=Supuestos!$B$44,Supuestos!$B$46*Supuestos!$B$50*(Supuestos!$B$44-4)/12,0)</f>
        <v>0</v>
      </c>
      <c r="AY51" s="22" t="n">
        <f aca="false">IF(AY$3=Supuestos!$B$44,Supuestos!$B$46*Supuestos!$B$50*(Supuestos!$B$44-4)/12,0)</f>
        <v>0</v>
      </c>
      <c r="AZ51" s="22" t="n">
        <f aca="false">IF(AZ$3=Supuestos!$B$44,Supuestos!$B$46*Supuestos!$B$50*(Supuestos!$B$44-4)/12,0)</f>
        <v>0</v>
      </c>
      <c r="BA51" s="22" t="n">
        <f aca="false">IF(BA$3=Supuestos!$B$44,Supuestos!$B$46*Supuestos!$B$50*(Supuestos!$B$44-4)/12,0)</f>
        <v>0</v>
      </c>
      <c r="BB51" s="22" t="n">
        <f aca="false">IF(BB$3=Supuestos!$B$44,Supuestos!$B$46*Supuestos!$B$50*(Supuestos!$B$44-4)/12,0)</f>
        <v>0</v>
      </c>
      <c r="BC51" s="22" t="n">
        <f aca="false">IF(BC$3=Supuestos!$B$44,Supuestos!$B$46*Supuestos!$B$50*(Supuestos!$B$44-4)/12,0)</f>
        <v>0</v>
      </c>
      <c r="BD51" s="22" t="n">
        <f aca="false">IF(BD$3=Supuestos!$B$44,Supuestos!$B$46*Supuestos!$B$50*(Supuestos!$B$44-4)/12,0)</f>
        <v>0</v>
      </c>
      <c r="BE51" s="22" t="n">
        <f aca="false">IF(BE$3=Supuestos!$B$44,Supuestos!$B$46*Supuestos!$B$50*(Supuestos!$B$44-4)/12,0)</f>
        <v>0</v>
      </c>
      <c r="BF51" s="22" t="n">
        <f aca="false">IF(BF$3=Supuestos!$B$44,Supuestos!$B$46*Supuestos!$B$50*(Supuestos!$B$44-4)/12,0)</f>
        <v>0</v>
      </c>
      <c r="BG51" s="22" t="n">
        <f aca="false">IF(BG$3=Supuestos!$B$44,Supuestos!$B$46*Supuestos!$B$50*(Supuestos!$B$44-4)/12,0)</f>
        <v>0</v>
      </c>
      <c r="BH51" s="22" t="n">
        <f aca="false">IF(BH$3=Supuestos!$B$44,Supuestos!$B$46*Supuestos!$B$50*(Supuestos!$B$44-4)/12,0)</f>
        <v>0</v>
      </c>
      <c r="BI51" s="22" t="n">
        <f aca="false">IF(BI$3=Supuestos!$B$44,Supuestos!$B$46*Supuestos!$B$50*(Supuestos!$B$44-4)/12,0)</f>
        <v>0</v>
      </c>
      <c r="BJ51" s="22" t="n">
        <f aca="false">IF(BJ$3=Supuestos!$B$44,Supuestos!$B$46*Supuestos!$B$50*(Supuestos!$B$44-4)/12,0)</f>
        <v>0</v>
      </c>
      <c r="BK51" s="22" t="n">
        <f aca="false">IF(BK$3=Supuestos!$B$44,Supuestos!$B$46*Supuestos!$B$50*(Supuestos!$B$44-4)/12,0)</f>
        <v>0</v>
      </c>
      <c r="BL51" s="22" t="n">
        <f aca="false">IF(BL$3=Supuestos!$B$44,Supuestos!$B$46*Supuestos!$B$50*(Supuestos!$B$44-4)/12,0)</f>
        <v>0</v>
      </c>
      <c r="BM51" s="22" t="n">
        <f aca="false">IF(BM$3=Supuestos!$B$44,Supuestos!$B$46*Supuestos!$B$50*(Supuestos!$B$44-4)/12,0)</f>
        <v>0</v>
      </c>
      <c r="BN51" s="22" t="n">
        <f aca="false">IF(BN$3=Supuestos!$B$44,Supuestos!$B$46*Supuestos!$B$50*(Supuestos!$B$44-4)/12,0)</f>
        <v>0</v>
      </c>
      <c r="BO51" s="22" t="n">
        <f aca="false">IF(BO$3=Supuestos!$B$44,Supuestos!$B$46*Supuestos!$B$50*(Supuestos!$B$44-4)/12,0)</f>
        <v>0</v>
      </c>
      <c r="BP51" s="22" t="n">
        <f aca="false">IF(BP$3=Supuestos!$B$44,Supuestos!$B$46*Supuestos!$B$50*(Supuestos!$B$44-4)/12,0)</f>
        <v>0</v>
      </c>
      <c r="BQ51" s="22" t="n">
        <f aca="false">IF(BQ$3=Supuestos!$B$44,Supuestos!$B$46*Supuestos!$B$50*(Supuestos!$B$44-4)/12,0)</f>
        <v>0</v>
      </c>
      <c r="BR51" s="22" t="n">
        <f aca="false">IF(BR$3=Supuestos!$B$44,Supuestos!$B$46*Supuestos!$B$50*(Supuestos!$B$44-4)/12,0)</f>
        <v>0</v>
      </c>
      <c r="BS51" s="22" t="n">
        <f aca="false">IF(BS$3=Supuestos!$B$44,Supuestos!$B$46*Supuestos!$B$50*(Supuestos!$B$44-4)/12,0)</f>
        <v>0</v>
      </c>
      <c r="BT51" s="22" t="n">
        <f aca="false">IF(BT$3=Supuestos!$B$44,Supuestos!$B$46*Supuestos!$B$50*(Supuestos!$B$44-4)/12,0)</f>
        <v>0</v>
      </c>
      <c r="BU51" s="22" t="n">
        <f aca="false">IF(BU$3=Supuestos!$B$44,Supuestos!$B$46*Supuestos!$B$50*(Supuestos!$B$44-4)/12,0)</f>
        <v>0</v>
      </c>
      <c r="BV51" s="22" t="n">
        <f aca="false">IF(BV$3=Supuestos!$B$44,Supuestos!$B$46*Supuestos!$B$50*(Supuestos!$B$44-4)/12,0)</f>
        <v>0</v>
      </c>
      <c r="BW51" s="22" t="n">
        <f aca="false">IF(BW$3=Supuestos!$B$44,Supuestos!$B$46*Supuestos!$B$50*(Supuestos!$B$44-4)/12,0)</f>
        <v>0</v>
      </c>
      <c r="BX51" s="22" t="n">
        <f aca="false">IF(BX$3=Supuestos!$B$44,Supuestos!$B$46*Supuestos!$B$50*(Supuestos!$B$44-4)/12,0)</f>
        <v>0</v>
      </c>
      <c r="BY51" s="22" t="n">
        <f aca="false">IF(BY$3=Supuestos!$B$44,Supuestos!$B$46*Supuestos!$B$50*(Supuestos!$B$44-4)/12,0)</f>
        <v>0</v>
      </c>
      <c r="BZ51" s="22" t="n">
        <f aca="false">IF(BZ$3=Supuestos!$B$44,Supuestos!$B$46*Supuestos!$B$50*(Supuestos!$B$44-4)/12,0)</f>
        <v>0</v>
      </c>
      <c r="CA51" s="22" t="n">
        <f aca="false">IF(CA$3=Supuestos!$B$44,Supuestos!$B$46*Supuestos!$B$50*(Supuestos!$B$44-4)/12,0)</f>
        <v>0</v>
      </c>
      <c r="CB51" s="22" t="n">
        <f aca="false">IF(CB$3=Supuestos!$B$44,Supuestos!$B$46*Supuestos!$B$50*(Supuestos!$B$44-4)/12,0)</f>
        <v>0</v>
      </c>
      <c r="CC51" s="22" t="n">
        <f aca="false">IF(CC$3=Supuestos!$B$44,Supuestos!$B$46*Supuestos!$B$50*(Supuestos!$B$44-4)/12,0)</f>
        <v>0</v>
      </c>
      <c r="CD51" s="22" t="n">
        <f aca="false">IF(CD$3=Supuestos!$B$44,Supuestos!$B$46*Supuestos!$B$50*(Supuestos!$B$44-4)/12,0)</f>
        <v>0</v>
      </c>
      <c r="CE51" s="22" t="n">
        <f aca="false">IF(CE$3=Supuestos!$B$44,Supuestos!$B$46*Supuestos!$B$50*(Supuestos!$B$44-4)/12,0)</f>
        <v>0</v>
      </c>
      <c r="CF51" s="22" t="n">
        <f aca="false">IF(CF$3=Supuestos!$B$44,Supuestos!$B$46*Supuestos!$B$50*(Supuestos!$B$44-4)/12,0)</f>
        <v>0</v>
      </c>
      <c r="CG51" s="22" t="n">
        <f aca="false">IF(CG$3=Supuestos!$B$44,Supuestos!$B$46*Supuestos!$B$50*(Supuestos!$B$44-4)/12,0)</f>
        <v>0</v>
      </c>
      <c r="CH51" s="22" t="n">
        <f aca="false">IF(CH$3=Supuestos!$B$44,Supuestos!$B$46*Supuestos!$B$50*(Supuestos!$B$44-4)/12,0)</f>
        <v>0</v>
      </c>
    </row>
    <row r="52" customFormat="false" ht="15" hidden="false" customHeight="false" outlineLevel="0" collapsed="false">
      <c r="A52" s="6" t="s">
        <v>192</v>
      </c>
      <c r="B52" s="9" t="n">
        <f aca="false">SUM(C52:CH52)</f>
        <v>1090901.94668049</v>
      </c>
      <c r="C52" s="22" t="n">
        <f aca="false">MAX(0,C44-C51)*Supuestos!$B$51</f>
        <v>0</v>
      </c>
      <c r="D52" s="22" t="n">
        <f aca="false">MAX(0,D44-D51)*Supuestos!$B$51</f>
        <v>0</v>
      </c>
      <c r="E52" s="22" t="n">
        <f aca="false">MAX(0,E44-E51)*Supuestos!$B$51</f>
        <v>0</v>
      </c>
      <c r="F52" s="22" t="n">
        <f aca="false">MAX(0,F44-F51)*Supuestos!$B$51</f>
        <v>0</v>
      </c>
      <c r="G52" s="22" t="n">
        <f aca="false">MAX(0,G44-G51)*Supuestos!$B$51</f>
        <v>0</v>
      </c>
      <c r="H52" s="22" t="n">
        <f aca="false">MAX(0,H44-H51)*Supuestos!$B$51</f>
        <v>0</v>
      </c>
      <c r="I52" s="22" t="n">
        <f aca="false">MAX(0,I44-I51)*Supuestos!$B$51</f>
        <v>0</v>
      </c>
      <c r="J52" s="22" t="n">
        <f aca="false">MAX(0,J44-J51)*Supuestos!$B$51</f>
        <v>0</v>
      </c>
      <c r="K52" s="22" t="n">
        <f aca="false">MAX(0,K44-K51)*Supuestos!$B$51</f>
        <v>0</v>
      </c>
      <c r="L52" s="22" t="n">
        <f aca="false">MAX(0,L44-L51)*Supuestos!$B$51</f>
        <v>0</v>
      </c>
      <c r="M52" s="22" t="n">
        <f aca="false">MAX(0,M44-M51)*Supuestos!$B$51</f>
        <v>0</v>
      </c>
      <c r="N52" s="22" t="n">
        <f aca="false">MAX(0,N44-N51)*Supuestos!$B$51</f>
        <v>0</v>
      </c>
      <c r="O52" s="22" t="n">
        <f aca="false">MAX(0,O44-O51)*Supuestos!$B$51</f>
        <v>0</v>
      </c>
      <c r="P52" s="22" t="n">
        <f aca="false">MAX(0,P44-P51)*Supuestos!$B$51</f>
        <v>0</v>
      </c>
      <c r="Q52" s="22" t="n">
        <f aca="false">MAX(0,Q44-Q51)*Supuestos!$B$51</f>
        <v>0</v>
      </c>
      <c r="R52" s="22" t="n">
        <f aca="false">MAX(0,R44-R51)*Supuestos!$B$51</f>
        <v>0</v>
      </c>
      <c r="S52" s="22" t="n">
        <f aca="false">MAX(0,S44-S51)*Supuestos!$B$51</f>
        <v>0</v>
      </c>
      <c r="T52" s="22" t="n">
        <f aca="false">MAX(0,T44-T51)*Supuestos!$B$51</f>
        <v>0</v>
      </c>
      <c r="U52" s="22" t="n">
        <f aca="false">MAX(0,U44-U51)*Supuestos!$B$51</f>
        <v>0</v>
      </c>
      <c r="V52" s="22" t="n">
        <f aca="false">MAX(0,V44-V51)*Supuestos!$B$51</f>
        <v>0</v>
      </c>
      <c r="W52" s="22" t="n">
        <f aca="false">MAX(0,W44-W51)*Supuestos!$B$51</f>
        <v>0</v>
      </c>
      <c r="X52" s="22" t="n">
        <f aca="false">MAX(0,X44-X51)*Supuestos!$B$51</f>
        <v>0</v>
      </c>
      <c r="Y52" s="22" t="n">
        <f aca="false">MAX(0,Y44-Y51)*Supuestos!$B$51</f>
        <v>0</v>
      </c>
      <c r="Z52" s="22" t="n">
        <f aca="false">MAX(0,Z44-Z51)*Supuestos!$B$51</f>
        <v>335065.339058765</v>
      </c>
      <c r="AA52" s="22" t="n">
        <f aca="false">MAX(0,AA44-AA51)*Supuestos!$B$51</f>
        <v>11023.840387729</v>
      </c>
      <c r="AB52" s="22" t="n">
        <f aca="false">MAX(0,AB44-AB51)*Supuestos!$B$51</f>
        <v>11619.0408195753</v>
      </c>
      <c r="AC52" s="22" t="n">
        <f aca="false">MAX(0,AC44-AC51)*Supuestos!$B$51</f>
        <v>12214.2412514216</v>
      </c>
      <c r="AD52" s="22" t="n">
        <f aca="false">MAX(0,AD44-AD51)*Supuestos!$B$51</f>
        <v>12809.4416832679</v>
      </c>
      <c r="AE52" s="22" t="n">
        <f aca="false">MAX(0,AE44-AE51)*Supuestos!$B$51</f>
        <v>13404.6421151142</v>
      </c>
      <c r="AF52" s="22" t="n">
        <f aca="false">MAX(0,AF44-AF51)*Supuestos!$B$51</f>
        <v>13999.8425469605</v>
      </c>
      <c r="AG52" s="22" t="n">
        <f aca="false">MAX(0,AG44-AG51)*Supuestos!$B$51</f>
        <v>14595.0429788068</v>
      </c>
      <c r="AH52" s="22" t="n">
        <f aca="false">MAX(0,AH44-AH51)*Supuestos!$B$51</f>
        <v>15190.2434106531</v>
      </c>
      <c r="AI52" s="22" t="n">
        <f aca="false">MAX(0,AI44-AI51)*Supuestos!$B$51</f>
        <v>15785.4438424994</v>
      </c>
      <c r="AJ52" s="22" t="n">
        <f aca="false">MAX(0,AJ44-AJ51)*Supuestos!$B$51</f>
        <v>16380.6442743456</v>
      </c>
      <c r="AK52" s="22" t="n">
        <f aca="false">MAX(0,AK44-AK51)*Supuestos!$B$51</f>
        <v>16975.8447061919</v>
      </c>
      <c r="AL52" s="22" t="n">
        <f aca="false">MAX(0,AL44-AL51)*Supuestos!$B$51</f>
        <v>17571.0451380382</v>
      </c>
      <c r="AM52" s="22" t="n">
        <f aca="false">MAX(0,AM44-AM51)*Supuestos!$B$51</f>
        <v>18166.2455698845</v>
      </c>
      <c r="AN52" s="22" t="n">
        <f aca="false">MAX(0,AN44-AN51)*Supuestos!$B$51</f>
        <v>18761.4460017308</v>
      </c>
      <c r="AO52" s="22" t="n">
        <f aca="false">MAX(0,AO44-AO51)*Supuestos!$B$51</f>
        <v>19356.6464335771</v>
      </c>
      <c r="AP52" s="22" t="n">
        <f aca="false">MAX(0,AP44-AP51)*Supuestos!$B$51</f>
        <v>19951.8468654234</v>
      </c>
      <c r="AQ52" s="22" t="n">
        <f aca="false">MAX(0,AQ44-AQ51)*Supuestos!$B$51</f>
        <v>20547.0472972697</v>
      </c>
      <c r="AR52" s="22" t="n">
        <f aca="false">MAX(0,AR44-AR51)*Supuestos!$B$51</f>
        <v>21142.247729116</v>
      </c>
      <c r="AS52" s="22" t="n">
        <f aca="false">MAX(0,AS44-AS51)*Supuestos!$B$51</f>
        <v>21737.4481609623</v>
      </c>
      <c r="AT52" s="22" t="n">
        <f aca="false">MAX(0,AT44-AT51)*Supuestos!$B$51</f>
        <v>22332.6485928086</v>
      </c>
      <c r="AU52" s="22" t="n">
        <f aca="false">MAX(0,AU44-AU51)*Supuestos!$B$51</f>
        <v>22927.8490246549</v>
      </c>
      <c r="AV52" s="22" t="n">
        <f aca="false">MAX(0,AV44-AV51)*Supuestos!$B$51</f>
        <v>21689.1947852209</v>
      </c>
      <c r="AW52" s="22" t="n">
        <f aca="false">MAX(0,AW44-AW51)*Supuestos!$B$51</f>
        <v>20906.4151686011</v>
      </c>
      <c r="AX52" s="22" t="n">
        <f aca="false">MAX(0,AX44-AX51)*Supuestos!$B$51</f>
        <v>20311.2147367548</v>
      </c>
      <c r="AY52" s="22" t="n">
        <f aca="false">MAX(0,AY44-AY51)*Supuestos!$B$51</f>
        <v>19716.0143049085</v>
      </c>
      <c r="AZ52" s="22" t="n">
        <f aca="false">MAX(0,AZ44-AZ51)*Supuestos!$B$51</f>
        <v>19120.8138730622</v>
      </c>
      <c r="BA52" s="22" t="n">
        <f aca="false">MAX(0,BA44-BA51)*Supuestos!$B$51</f>
        <v>18525.6134412159</v>
      </c>
      <c r="BB52" s="22" t="n">
        <f aca="false">MAX(0,BB44-BB51)*Supuestos!$B$51</f>
        <v>17930.4130093696</v>
      </c>
      <c r="BC52" s="22" t="n">
        <f aca="false">MAX(0,BC44-BC51)*Supuestos!$B$51</f>
        <v>17335.2125775233</v>
      </c>
      <c r="BD52" s="22" t="n">
        <f aca="false">MAX(0,BD44-BD51)*Supuestos!$B$51</f>
        <v>16740.012145677</v>
      </c>
      <c r="BE52" s="22" t="n">
        <f aca="false">MAX(0,BE44-BE51)*Supuestos!$B$51</f>
        <v>16144.8117138307</v>
      </c>
      <c r="BF52" s="22" t="n">
        <f aca="false">MAX(0,BF44-BF51)*Supuestos!$B$51</f>
        <v>15549.6112819844</v>
      </c>
      <c r="BG52" s="22" t="n">
        <f aca="false">MAX(0,BG44-BG51)*Supuestos!$B$51</f>
        <v>14954.4108501381</v>
      </c>
      <c r="BH52" s="22" t="n">
        <f aca="false">MAX(0,BH44-BH51)*Supuestos!$B$51</f>
        <v>14359.2104182918</v>
      </c>
      <c r="BI52" s="22" t="n">
        <f aca="false">MAX(0,BI44-BI51)*Supuestos!$B$51</f>
        <v>13764.0099864455</v>
      </c>
      <c r="BJ52" s="22" t="n">
        <f aca="false">MAX(0,BJ44-BJ51)*Supuestos!$B$51</f>
        <v>13168.8095545992</v>
      </c>
      <c r="BK52" s="22" t="n">
        <f aca="false">MAX(0,BK44-BK51)*Supuestos!$B$51</f>
        <v>12573.6091227529</v>
      </c>
      <c r="BL52" s="22" t="n">
        <f aca="false">MAX(0,BL44-BL51)*Supuestos!$B$51</f>
        <v>11978.4086909067</v>
      </c>
      <c r="BM52" s="22" t="n">
        <f aca="false">MAX(0,BM44-BM51)*Supuestos!$B$51</f>
        <v>11383.2082590604</v>
      </c>
      <c r="BN52" s="22" t="n">
        <f aca="false">MAX(0,BN44-BN51)*Supuestos!$B$51</f>
        <v>10788.0078272141</v>
      </c>
      <c r="BO52" s="22" t="n">
        <f aca="false">MAX(0,BO44-BO51)*Supuestos!$B$51</f>
        <v>10192.8073953678</v>
      </c>
      <c r="BP52" s="22" t="n">
        <f aca="false">MAX(0,BP44-BP51)*Supuestos!$B$51</f>
        <v>9597.60696352148</v>
      </c>
      <c r="BQ52" s="22" t="n">
        <f aca="false">MAX(0,BQ44-BQ51)*Supuestos!$B$51</f>
        <v>9002.40653167519</v>
      </c>
      <c r="BR52" s="22" t="n">
        <f aca="false">MAX(0,BR44-BR51)*Supuestos!$B$51</f>
        <v>8407.20609982889</v>
      </c>
      <c r="BS52" s="22" t="n">
        <f aca="false">MAX(0,BS44-BS51)*Supuestos!$B$51</f>
        <v>7812.0056679826</v>
      </c>
      <c r="BT52" s="22" t="n">
        <f aca="false">MAX(0,BT44-BT51)*Supuestos!$B$51</f>
        <v>7216.80523613631</v>
      </c>
      <c r="BU52" s="22" t="n">
        <f aca="false">MAX(0,BU44-BU51)*Supuestos!$B$51</f>
        <v>6621.60480429001</v>
      </c>
      <c r="BV52" s="22" t="n">
        <f aca="false">MAX(0,BV44-BV51)*Supuestos!$B$51</f>
        <v>6026.40437244372</v>
      </c>
      <c r="BW52" s="22" t="n">
        <f aca="false">MAX(0,BW44-BW51)*Supuestos!$B$51</f>
        <v>5431.20394059743</v>
      </c>
      <c r="BX52" s="22" t="n">
        <f aca="false">MAX(0,BX44-BX51)*Supuestos!$B$51</f>
        <v>4836.00350875113</v>
      </c>
      <c r="BY52" s="22" t="n">
        <f aca="false">MAX(0,BY44-BY51)*Supuestos!$B$51</f>
        <v>4240.80307690484</v>
      </c>
      <c r="BZ52" s="22" t="n">
        <f aca="false">MAX(0,BZ44-BZ51)*Supuestos!$B$51</f>
        <v>3645.60264505855</v>
      </c>
      <c r="CA52" s="22" t="n">
        <f aca="false">MAX(0,CA44-CA51)*Supuestos!$B$51</f>
        <v>3050.40221321225</v>
      </c>
      <c r="CB52" s="22" t="n">
        <f aca="false">MAX(0,CB44-CB51)*Supuestos!$B$51</f>
        <v>2455.20178136596</v>
      </c>
      <c r="CC52" s="22" t="n">
        <f aca="false">MAX(0,CC44-CC51)*Supuestos!$B$51</f>
        <v>1860.00134951967</v>
      </c>
      <c r="CD52" s="22" t="n">
        <f aca="false">MAX(0,CD44-CD51)*Supuestos!$B$51</f>
        <v>1264.80091767337</v>
      </c>
      <c r="CE52" s="22" t="n">
        <f aca="false">MAX(0,CE44-CE51)*Supuestos!$B$51</f>
        <v>669.60048582708</v>
      </c>
      <c r="CF52" s="22" t="n">
        <f aca="false">MAX(0,CF44-CF51)*Supuestos!$B$51</f>
        <v>74.4000539807867</v>
      </c>
      <c r="CG52" s="22" t="n">
        <f aca="false">MAX(0,CG44-CG51)*Supuestos!$B$51</f>
        <v>0</v>
      </c>
      <c r="CH52" s="22" t="n">
        <f aca="false">MAX(0,CH44-CH51)*Supuestos!$B$51</f>
        <v>0</v>
      </c>
    </row>
    <row r="53" customFormat="false" ht="15" hidden="false" customHeight="false" outlineLevel="0" collapsed="false">
      <c r="A53" s="6" t="s">
        <v>193</v>
      </c>
      <c r="B53" s="9" t="n">
        <f aca="false">SUM(C53:CH53)</f>
        <v>2836345.06136927</v>
      </c>
      <c r="C53" s="22" t="n">
        <f aca="false">MAX(0,C44-C51)*(1-Supuestos!$B$51)*Supuestos!$B$49</f>
        <v>0</v>
      </c>
      <c r="D53" s="22" t="n">
        <f aca="false">MAX(0,D44-D51)*(1-Supuestos!$B$51)*Supuestos!$B$49</f>
        <v>0</v>
      </c>
      <c r="E53" s="22" t="n">
        <f aca="false">MAX(0,E44-E51)*(1-Supuestos!$B$51)*Supuestos!$B$49</f>
        <v>0</v>
      </c>
      <c r="F53" s="22" t="n">
        <f aca="false">MAX(0,F44-F51)*(1-Supuestos!$B$51)*Supuestos!$B$49</f>
        <v>0</v>
      </c>
      <c r="G53" s="22" t="n">
        <f aca="false">MAX(0,G44-G51)*(1-Supuestos!$B$51)*Supuestos!$B$49</f>
        <v>0</v>
      </c>
      <c r="H53" s="22" t="n">
        <f aca="false">MAX(0,H44-H51)*(1-Supuestos!$B$51)*Supuestos!$B$49</f>
        <v>0</v>
      </c>
      <c r="I53" s="22" t="n">
        <f aca="false">MAX(0,I44-I51)*(1-Supuestos!$B$51)*Supuestos!$B$49</f>
        <v>0</v>
      </c>
      <c r="J53" s="22" t="n">
        <f aca="false">MAX(0,J44-J51)*(1-Supuestos!$B$51)*Supuestos!$B$49</f>
        <v>0</v>
      </c>
      <c r="K53" s="22" t="n">
        <f aca="false">MAX(0,K44-K51)*(1-Supuestos!$B$51)*Supuestos!$B$49</f>
        <v>0</v>
      </c>
      <c r="L53" s="22" t="n">
        <f aca="false">MAX(0,L44-L51)*(1-Supuestos!$B$51)*Supuestos!$B$49</f>
        <v>0</v>
      </c>
      <c r="M53" s="22" t="n">
        <f aca="false">MAX(0,M44-M51)*(1-Supuestos!$B$51)*Supuestos!$B$49</f>
        <v>0</v>
      </c>
      <c r="N53" s="22" t="n">
        <f aca="false">MAX(0,N44-N51)*(1-Supuestos!$B$51)*Supuestos!$B$49</f>
        <v>0</v>
      </c>
      <c r="O53" s="22" t="n">
        <f aca="false">MAX(0,O44-O51)*(1-Supuestos!$B$51)*Supuestos!$B$49</f>
        <v>0</v>
      </c>
      <c r="P53" s="22" t="n">
        <f aca="false">MAX(0,P44-P51)*(1-Supuestos!$B$51)*Supuestos!$B$49</f>
        <v>0</v>
      </c>
      <c r="Q53" s="22" t="n">
        <f aca="false">MAX(0,Q44-Q51)*(1-Supuestos!$B$51)*Supuestos!$B$49</f>
        <v>0</v>
      </c>
      <c r="R53" s="22" t="n">
        <f aca="false">MAX(0,R44-R51)*(1-Supuestos!$B$51)*Supuestos!$B$49</f>
        <v>0</v>
      </c>
      <c r="S53" s="22" t="n">
        <f aca="false">MAX(0,S44-S51)*(1-Supuestos!$B$51)*Supuestos!$B$49</f>
        <v>0</v>
      </c>
      <c r="T53" s="22" t="n">
        <f aca="false">MAX(0,T44-T51)*(1-Supuestos!$B$51)*Supuestos!$B$49</f>
        <v>0</v>
      </c>
      <c r="U53" s="22" t="n">
        <f aca="false">MAX(0,U44-U51)*(1-Supuestos!$B$51)*Supuestos!$B$49</f>
        <v>0</v>
      </c>
      <c r="V53" s="22" t="n">
        <f aca="false">MAX(0,V44-V51)*(1-Supuestos!$B$51)*Supuestos!$B$49</f>
        <v>0</v>
      </c>
      <c r="W53" s="22" t="n">
        <f aca="false">MAX(0,W44-W51)*(1-Supuestos!$B$51)*Supuestos!$B$49</f>
        <v>0</v>
      </c>
      <c r="X53" s="22" t="n">
        <f aca="false">MAX(0,X44-X51)*(1-Supuestos!$B$51)*Supuestos!$B$49</f>
        <v>0</v>
      </c>
      <c r="Y53" s="22" t="n">
        <f aca="false">MAX(0,Y44-Y51)*(1-Supuestos!$B$51)*Supuestos!$B$49</f>
        <v>0</v>
      </c>
      <c r="Z53" s="22" t="n">
        <f aca="false">MAX(0,Z44-Z51)*(1-Supuestos!$B$51)*Supuestos!$B$49</f>
        <v>871169.881552789</v>
      </c>
      <c r="AA53" s="22" t="n">
        <f aca="false">MAX(0,AA44-AA51)*(1-Supuestos!$B$51)*Supuestos!$B$49</f>
        <v>28661.9850080954</v>
      </c>
      <c r="AB53" s="22" t="n">
        <f aca="false">MAX(0,AB44-AB51)*(1-Supuestos!$B$51)*Supuestos!$B$49</f>
        <v>30209.5061308958</v>
      </c>
      <c r="AC53" s="22" t="n">
        <f aca="false">MAX(0,AC44-AC51)*(1-Supuestos!$B$51)*Supuestos!$B$49</f>
        <v>31757.0272536961</v>
      </c>
      <c r="AD53" s="22" t="n">
        <f aca="false">MAX(0,AD44-AD51)*(1-Supuestos!$B$51)*Supuestos!$B$49</f>
        <v>33304.5483764965</v>
      </c>
      <c r="AE53" s="22" t="n">
        <f aca="false">MAX(0,AE44-AE51)*(1-Supuestos!$B$51)*Supuestos!$B$49</f>
        <v>34852.0694992969</v>
      </c>
      <c r="AF53" s="22" t="n">
        <f aca="false">MAX(0,AF44-AF51)*(1-Supuestos!$B$51)*Supuestos!$B$49</f>
        <v>36399.5906220972</v>
      </c>
      <c r="AG53" s="22" t="n">
        <f aca="false">MAX(0,AG44-AG51)*(1-Supuestos!$B$51)*Supuestos!$B$49</f>
        <v>37947.1117448976</v>
      </c>
      <c r="AH53" s="22" t="n">
        <f aca="false">MAX(0,AH44-AH51)*(1-Supuestos!$B$51)*Supuestos!$B$49</f>
        <v>39494.632867698</v>
      </c>
      <c r="AI53" s="22" t="n">
        <f aca="false">MAX(0,AI44-AI51)*(1-Supuestos!$B$51)*Supuestos!$B$49</f>
        <v>41042.1539904983</v>
      </c>
      <c r="AJ53" s="22" t="n">
        <f aca="false">MAX(0,AJ44-AJ51)*(1-Supuestos!$B$51)*Supuestos!$B$49</f>
        <v>42589.6751132987</v>
      </c>
      <c r="AK53" s="22" t="n">
        <f aca="false">MAX(0,AK44-AK51)*(1-Supuestos!$B$51)*Supuestos!$B$49</f>
        <v>44137.196236099</v>
      </c>
      <c r="AL53" s="22" t="n">
        <f aca="false">MAX(0,AL44-AL51)*(1-Supuestos!$B$51)*Supuestos!$B$49</f>
        <v>45684.7173588994</v>
      </c>
      <c r="AM53" s="22" t="n">
        <f aca="false">MAX(0,AM44-AM51)*(1-Supuestos!$B$51)*Supuestos!$B$49</f>
        <v>47232.2384816998</v>
      </c>
      <c r="AN53" s="22" t="n">
        <f aca="false">MAX(0,AN44-AN51)*(1-Supuestos!$B$51)*Supuestos!$B$49</f>
        <v>48779.7596045001</v>
      </c>
      <c r="AO53" s="22" t="n">
        <f aca="false">MAX(0,AO44-AO51)*(1-Supuestos!$B$51)*Supuestos!$B$49</f>
        <v>50327.2807273005</v>
      </c>
      <c r="AP53" s="22" t="n">
        <f aca="false">MAX(0,AP44-AP51)*(1-Supuestos!$B$51)*Supuestos!$B$49</f>
        <v>51874.8018501008</v>
      </c>
      <c r="AQ53" s="22" t="n">
        <f aca="false">MAX(0,AQ44-AQ51)*(1-Supuestos!$B$51)*Supuestos!$B$49</f>
        <v>53422.3229729012</v>
      </c>
      <c r="AR53" s="22" t="n">
        <f aca="false">MAX(0,AR44-AR51)*(1-Supuestos!$B$51)*Supuestos!$B$49</f>
        <v>54969.8440957016</v>
      </c>
      <c r="AS53" s="22" t="n">
        <f aca="false">MAX(0,AS44-AS51)*(1-Supuestos!$B$51)*Supuestos!$B$49</f>
        <v>56517.3652185019</v>
      </c>
      <c r="AT53" s="22" t="n">
        <f aca="false">MAX(0,AT44-AT51)*(1-Supuestos!$B$51)*Supuestos!$B$49</f>
        <v>58064.8863413023</v>
      </c>
      <c r="AU53" s="22" t="n">
        <f aca="false">MAX(0,AU44-AU51)*(1-Supuestos!$B$51)*Supuestos!$B$49</f>
        <v>59612.4074641027</v>
      </c>
      <c r="AV53" s="22" t="n">
        <f aca="false">MAX(0,AV44-AV51)*(1-Supuestos!$B$51)*Supuestos!$B$49</f>
        <v>56391.9064415743</v>
      </c>
      <c r="AW53" s="22" t="n">
        <f aca="false">MAX(0,AW44-AW51)*(1-Supuestos!$B$51)*Supuestos!$B$49</f>
        <v>54356.6794383628</v>
      </c>
      <c r="AX53" s="22" t="n">
        <f aca="false">MAX(0,AX44-AX51)*(1-Supuestos!$B$51)*Supuestos!$B$49</f>
        <v>52809.1583155624</v>
      </c>
      <c r="AY53" s="22" t="n">
        <f aca="false">MAX(0,AY44-AY51)*(1-Supuestos!$B$51)*Supuestos!$B$49</f>
        <v>51261.637192762</v>
      </c>
      <c r="AZ53" s="22" t="n">
        <f aca="false">MAX(0,AZ44-AZ51)*(1-Supuestos!$B$51)*Supuestos!$B$49</f>
        <v>49714.1160699616</v>
      </c>
      <c r="BA53" s="22" t="n">
        <f aca="false">MAX(0,BA44-BA51)*(1-Supuestos!$B$51)*Supuestos!$B$49</f>
        <v>48166.5949471613</v>
      </c>
      <c r="BB53" s="22" t="n">
        <f aca="false">MAX(0,BB44-BB51)*(1-Supuestos!$B$51)*Supuestos!$B$49</f>
        <v>46619.0738243609</v>
      </c>
      <c r="BC53" s="22" t="n">
        <f aca="false">MAX(0,BC44-BC51)*(1-Supuestos!$B$51)*Supuestos!$B$49</f>
        <v>45071.5527015606</v>
      </c>
      <c r="BD53" s="22" t="n">
        <f aca="false">MAX(0,BD44-BD51)*(1-Supuestos!$B$51)*Supuestos!$B$49</f>
        <v>43524.0315787602</v>
      </c>
      <c r="BE53" s="22" t="n">
        <f aca="false">MAX(0,BE44-BE51)*(1-Supuestos!$B$51)*Supuestos!$B$49</f>
        <v>41976.5104559598</v>
      </c>
      <c r="BF53" s="22" t="n">
        <f aca="false">MAX(0,BF44-BF51)*(1-Supuestos!$B$51)*Supuestos!$B$49</f>
        <v>40428.9893331595</v>
      </c>
      <c r="BG53" s="22" t="n">
        <f aca="false">MAX(0,BG44-BG51)*(1-Supuestos!$B$51)*Supuestos!$B$49</f>
        <v>38881.4682103591</v>
      </c>
      <c r="BH53" s="22" t="n">
        <f aca="false">MAX(0,BH44-BH51)*(1-Supuestos!$B$51)*Supuestos!$B$49</f>
        <v>37333.9470875588</v>
      </c>
      <c r="BI53" s="22" t="n">
        <f aca="false">MAX(0,BI44-BI51)*(1-Supuestos!$B$51)*Supuestos!$B$49</f>
        <v>35786.4259647584</v>
      </c>
      <c r="BJ53" s="22" t="n">
        <f aca="false">MAX(0,BJ44-BJ51)*(1-Supuestos!$B$51)*Supuestos!$B$49</f>
        <v>34238.904841958</v>
      </c>
      <c r="BK53" s="22" t="n">
        <f aca="false">MAX(0,BK44-BK51)*(1-Supuestos!$B$51)*Supuestos!$B$49</f>
        <v>32691.3837191577</v>
      </c>
      <c r="BL53" s="22" t="n">
        <f aca="false">MAX(0,BL44-BL51)*(1-Supuestos!$B$51)*Supuestos!$B$49</f>
        <v>31143.8625963573</v>
      </c>
      <c r="BM53" s="22" t="n">
        <f aca="false">MAX(0,BM44-BM51)*(1-Supuestos!$B$51)*Supuestos!$B$49</f>
        <v>29596.3414735569</v>
      </c>
      <c r="BN53" s="22" t="n">
        <f aca="false">MAX(0,BN44-BN51)*(1-Supuestos!$B$51)*Supuestos!$B$49</f>
        <v>28048.8203507566</v>
      </c>
      <c r="BO53" s="22" t="n">
        <f aca="false">MAX(0,BO44-BO51)*(1-Supuestos!$B$51)*Supuestos!$B$49</f>
        <v>26501.2992279562</v>
      </c>
      <c r="BP53" s="22" t="n">
        <f aca="false">MAX(0,BP44-BP51)*(1-Supuestos!$B$51)*Supuestos!$B$49</f>
        <v>24953.7781051558</v>
      </c>
      <c r="BQ53" s="22" t="n">
        <f aca="false">MAX(0,BQ44-BQ51)*(1-Supuestos!$B$51)*Supuestos!$B$49</f>
        <v>23406.2569823555</v>
      </c>
      <c r="BR53" s="22" t="n">
        <f aca="false">MAX(0,BR44-BR51)*(1-Supuestos!$B$51)*Supuestos!$B$49</f>
        <v>21858.7358595551</v>
      </c>
      <c r="BS53" s="22" t="n">
        <f aca="false">MAX(0,BS44-BS51)*(1-Supuestos!$B$51)*Supuestos!$B$49</f>
        <v>20311.2147367548</v>
      </c>
      <c r="BT53" s="22" t="n">
        <f aca="false">MAX(0,BT44-BT51)*(1-Supuestos!$B$51)*Supuestos!$B$49</f>
        <v>18763.6936139544</v>
      </c>
      <c r="BU53" s="22" t="n">
        <f aca="false">MAX(0,BU44-BU51)*(1-Supuestos!$B$51)*Supuestos!$B$49</f>
        <v>17216.172491154</v>
      </c>
      <c r="BV53" s="22" t="n">
        <f aca="false">MAX(0,BV44-BV51)*(1-Supuestos!$B$51)*Supuestos!$B$49</f>
        <v>15668.6513683537</v>
      </c>
      <c r="BW53" s="22" t="n">
        <f aca="false">MAX(0,BW44-BW51)*(1-Supuestos!$B$51)*Supuestos!$B$49</f>
        <v>14121.1302455533</v>
      </c>
      <c r="BX53" s="22" t="n">
        <f aca="false">MAX(0,BX44-BX51)*(1-Supuestos!$B$51)*Supuestos!$B$49</f>
        <v>12573.6091227529</v>
      </c>
      <c r="BY53" s="22" t="n">
        <f aca="false">MAX(0,BY44-BY51)*(1-Supuestos!$B$51)*Supuestos!$B$49</f>
        <v>11026.0879999526</v>
      </c>
      <c r="BZ53" s="22" t="n">
        <f aca="false">MAX(0,BZ44-BZ51)*(1-Supuestos!$B$51)*Supuestos!$B$49</f>
        <v>9478.56687715222</v>
      </c>
      <c r="CA53" s="22" t="n">
        <f aca="false">MAX(0,CA44-CA51)*(1-Supuestos!$B$51)*Supuestos!$B$49</f>
        <v>7931.04575435186</v>
      </c>
      <c r="CB53" s="22" t="n">
        <f aca="false">MAX(0,CB44-CB51)*(1-Supuestos!$B$51)*Supuestos!$B$49</f>
        <v>6383.5246315515</v>
      </c>
      <c r="CC53" s="22" t="n">
        <f aca="false">MAX(0,CC44-CC51)*(1-Supuestos!$B$51)*Supuestos!$B$49</f>
        <v>4836.00350875113</v>
      </c>
      <c r="CD53" s="22" t="n">
        <f aca="false">MAX(0,CD44-CD51)*(1-Supuestos!$B$51)*Supuestos!$B$49</f>
        <v>3288.48238595077</v>
      </c>
      <c r="CE53" s="22" t="n">
        <f aca="false">MAX(0,CE44-CE51)*(1-Supuestos!$B$51)*Supuestos!$B$49</f>
        <v>1740.96126315041</v>
      </c>
      <c r="CF53" s="22" t="n">
        <f aca="false">MAX(0,CF44-CF51)*(1-Supuestos!$B$51)*Supuestos!$B$49</f>
        <v>193.440140350045</v>
      </c>
      <c r="CG53" s="22" t="n">
        <f aca="false">MAX(0,CG44-CG51)*(1-Supuestos!$B$51)*Supuestos!$B$49</f>
        <v>0</v>
      </c>
      <c r="CH53" s="22" t="n">
        <f aca="false">MAX(0,CH44-CH51)*(1-Supuestos!$B$51)*Supuestos!$B$49</f>
        <v>0</v>
      </c>
    </row>
    <row r="54" customFormat="false" ht="15" hidden="false" customHeight="false" outlineLevel="0" collapsed="false">
      <c r="A54" s="6" t="s">
        <v>194</v>
      </c>
      <c r="B54" s="9" t="n">
        <f aca="false">SUM(C54:CH54)</f>
        <v>1527262.72535269</v>
      </c>
      <c r="C54" s="22" t="n">
        <f aca="false">MAX(0,C44-C51)*(1-Supuestos!$B$51)*(1-Supuestos!$B$49)</f>
        <v>0</v>
      </c>
      <c r="D54" s="22" t="n">
        <f aca="false">MAX(0,D44-D51)*(1-Supuestos!$B$51)*(1-Supuestos!$B$49)</f>
        <v>0</v>
      </c>
      <c r="E54" s="22" t="n">
        <f aca="false">MAX(0,E44-E51)*(1-Supuestos!$B$51)*(1-Supuestos!$B$49)</f>
        <v>0</v>
      </c>
      <c r="F54" s="22" t="n">
        <f aca="false">MAX(0,F44-F51)*(1-Supuestos!$B$51)*(1-Supuestos!$B$49)</f>
        <v>0</v>
      </c>
      <c r="G54" s="22" t="n">
        <f aca="false">MAX(0,G44-G51)*(1-Supuestos!$B$51)*(1-Supuestos!$B$49)</f>
        <v>0</v>
      </c>
      <c r="H54" s="22" t="n">
        <f aca="false">MAX(0,H44-H51)*(1-Supuestos!$B$51)*(1-Supuestos!$B$49)</f>
        <v>0</v>
      </c>
      <c r="I54" s="22" t="n">
        <f aca="false">MAX(0,I44-I51)*(1-Supuestos!$B$51)*(1-Supuestos!$B$49)</f>
        <v>0</v>
      </c>
      <c r="J54" s="22" t="n">
        <f aca="false">MAX(0,J44-J51)*(1-Supuestos!$B$51)*(1-Supuestos!$B$49)</f>
        <v>0</v>
      </c>
      <c r="K54" s="22" t="n">
        <f aca="false">MAX(0,K44-K51)*(1-Supuestos!$B$51)*(1-Supuestos!$B$49)</f>
        <v>0</v>
      </c>
      <c r="L54" s="22" t="n">
        <f aca="false">MAX(0,L44-L51)*(1-Supuestos!$B$51)*(1-Supuestos!$B$49)</f>
        <v>0</v>
      </c>
      <c r="M54" s="22" t="n">
        <f aca="false">MAX(0,M44-M51)*(1-Supuestos!$B$51)*(1-Supuestos!$B$49)</f>
        <v>0</v>
      </c>
      <c r="N54" s="22" t="n">
        <f aca="false">MAX(0,N44-N51)*(1-Supuestos!$B$51)*(1-Supuestos!$B$49)</f>
        <v>0</v>
      </c>
      <c r="O54" s="22" t="n">
        <f aca="false">MAX(0,O44-O51)*(1-Supuestos!$B$51)*(1-Supuestos!$B$49)</f>
        <v>0</v>
      </c>
      <c r="P54" s="22" t="n">
        <f aca="false">MAX(0,P44-P51)*(1-Supuestos!$B$51)*(1-Supuestos!$B$49)</f>
        <v>0</v>
      </c>
      <c r="Q54" s="22" t="n">
        <f aca="false">MAX(0,Q44-Q51)*(1-Supuestos!$B$51)*(1-Supuestos!$B$49)</f>
        <v>0</v>
      </c>
      <c r="R54" s="22" t="n">
        <f aca="false">MAX(0,R44-R51)*(1-Supuestos!$B$51)*(1-Supuestos!$B$49)</f>
        <v>0</v>
      </c>
      <c r="S54" s="22" t="n">
        <f aca="false">MAX(0,S44-S51)*(1-Supuestos!$B$51)*(1-Supuestos!$B$49)</f>
        <v>0</v>
      </c>
      <c r="T54" s="22" t="n">
        <f aca="false">MAX(0,T44-T51)*(1-Supuestos!$B$51)*(1-Supuestos!$B$49)</f>
        <v>0</v>
      </c>
      <c r="U54" s="22" t="n">
        <f aca="false">MAX(0,U44-U51)*(1-Supuestos!$B$51)*(1-Supuestos!$B$49)</f>
        <v>0</v>
      </c>
      <c r="V54" s="22" t="n">
        <f aca="false">MAX(0,V44-V51)*(1-Supuestos!$B$51)*(1-Supuestos!$B$49)</f>
        <v>0</v>
      </c>
      <c r="W54" s="22" t="n">
        <f aca="false">MAX(0,W44-W51)*(1-Supuestos!$B$51)*(1-Supuestos!$B$49)</f>
        <v>0</v>
      </c>
      <c r="X54" s="22" t="n">
        <f aca="false">MAX(0,X44-X51)*(1-Supuestos!$B$51)*(1-Supuestos!$B$49)</f>
        <v>0</v>
      </c>
      <c r="Y54" s="22" t="n">
        <f aca="false">MAX(0,Y44-Y51)*(1-Supuestos!$B$51)*(1-Supuestos!$B$49)</f>
        <v>0</v>
      </c>
      <c r="Z54" s="22" t="n">
        <f aca="false">MAX(0,Z44-Z51)*(1-Supuestos!$B$51)*(1-Supuestos!$B$49)</f>
        <v>469091.474682271</v>
      </c>
      <c r="AA54" s="22" t="n">
        <f aca="false">MAX(0,AA44-AA51)*(1-Supuestos!$B$51)*(1-Supuestos!$B$49)</f>
        <v>15433.3765428206</v>
      </c>
      <c r="AB54" s="22" t="n">
        <f aca="false">MAX(0,AB44-AB51)*(1-Supuestos!$B$51)*(1-Supuestos!$B$49)</f>
        <v>16266.6571474054</v>
      </c>
      <c r="AC54" s="22" t="n">
        <f aca="false">MAX(0,AC44-AC51)*(1-Supuestos!$B$51)*(1-Supuestos!$B$49)</f>
        <v>17099.9377519902</v>
      </c>
      <c r="AD54" s="22" t="n">
        <f aca="false">MAX(0,AD44-AD51)*(1-Supuestos!$B$51)*(1-Supuestos!$B$49)</f>
        <v>17933.218356575</v>
      </c>
      <c r="AE54" s="22" t="n">
        <f aca="false">MAX(0,AE44-AE51)*(1-Supuestos!$B$51)*(1-Supuestos!$B$49)</f>
        <v>18766.4989611598</v>
      </c>
      <c r="AF54" s="22" t="n">
        <f aca="false">MAX(0,AF44-AF51)*(1-Supuestos!$B$51)*(1-Supuestos!$B$49)</f>
        <v>19599.7795657447</v>
      </c>
      <c r="AG54" s="22" t="n">
        <f aca="false">MAX(0,AG44-AG51)*(1-Supuestos!$B$51)*(1-Supuestos!$B$49)</f>
        <v>20433.0601703295</v>
      </c>
      <c r="AH54" s="22" t="n">
        <f aca="false">MAX(0,AH44-AH51)*(1-Supuestos!$B$51)*(1-Supuestos!$B$49)</f>
        <v>21266.3407749143</v>
      </c>
      <c r="AI54" s="22" t="n">
        <f aca="false">MAX(0,AI44-AI51)*(1-Supuestos!$B$51)*(1-Supuestos!$B$49)</f>
        <v>22099.6213794991</v>
      </c>
      <c r="AJ54" s="22" t="n">
        <f aca="false">MAX(0,AJ44-AJ51)*(1-Supuestos!$B$51)*(1-Supuestos!$B$49)</f>
        <v>22932.9019840839</v>
      </c>
      <c r="AK54" s="22" t="n">
        <f aca="false">MAX(0,AK44-AK51)*(1-Supuestos!$B$51)*(1-Supuestos!$B$49)</f>
        <v>23766.1825886687</v>
      </c>
      <c r="AL54" s="22" t="n">
        <f aca="false">MAX(0,AL44-AL51)*(1-Supuestos!$B$51)*(1-Supuestos!$B$49)</f>
        <v>24599.4631932535</v>
      </c>
      <c r="AM54" s="22" t="n">
        <f aca="false">MAX(0,AM44-AM51)*(1-Supuestos!$B$51)*(1-Supuestos!$B$49)</f>
        <v>25432.7437978383</v>
      </c>
      <c r="AN54" s="22" t="n">
        <f aca="false">MAX(0,AN44-AN51)*(1-Supuestos!$B$51)*(1-Supuestos!$B$49)</f>
        <v>26266.0244024231</v>
      </c>
      <c r="AO54" s="22" t="n">
        <f aca="false">MAX(0,AO44-AO51)*(1-Supuestos!$B$51)*(1-Supuestos!$B$49)</f>
        <v>27099.3050070079</v>
      </c>
      <c r="AP54" s="22" t="n">
        <f aca="false">MAX(0,AP44-AP51)*(1-Supuestos!$B$51)*(1-Supuestos!$B$49)</f>
        <v>27932.5856115928</v>
      </c>
      <c r="AQ54" s="22" t="n">
        <f aca="false">MAX(0,AQ44-AQ51)*(1-Supuestos!$B$51)*(1-Supuestos!$B$49)</f>
        <v>28765.8662161776</v>
      </c>
      <c r="AR54" s="22" t="n">
        <f aca="false">MAX(0,AR44-AR51)*(1-Supuestos!$B$51)*(1-Supuestos!$B$49)</f>
        <v>29599.1468207624</v>
      </c>
      <c r="AS54" s="22" t="n">
        <f aca="false">MAX(0,AS44-AS51)*(1-Supuestos!$B$51)*(1-Supuestos!$B$49)</f>
        <v>30432.4274253472</v>
      </c>
      <c r="AT54" s="22" t="n">
        <f aca="false">MAX(0,AT44-AT51)*(1-Supuestos!$B$51)*(1-Supuestos!$B$49)</f>
        <v>31265.708029932</v>
      </c>
      <c r="AU54" s="22" t="n">
        <f aca="false">MAX(0,AU44-AU51)*(1-Supuestos!$B$51)*(1-Supuestos!$B$49)</f>
        <v>32098.9886345168</v>
      </c>
      <c r="AV54" s="22" t="n">
        <f aca="false">MAX(0,AV44-AV51)*(1-Supuestos!$B$51)*(1-Supuestos!$B$49)</f>
        <v>30364.8726993092</v>
      </c>
      <c r="AW54" s="22" t="n">
        <f aca="false">MAX(0,AW44-AW51)*(1-Supuestos!$B$51)*(1-Supuestos!$B$49)</f>
        <v>29268.9812360415</v>
      </c>
      <c r="AX54" s="22" t="n">
        <f aca="false">MAX(0,AX44-AX51)*(1-Supuestos!$B$51)*(1-Supuestos!$B$49)</f>
        <v>28435.7006314567</v>
      </c>
      <c r="AY54" s="22" t="n">
        <f aca="false">MAX(0,AY44-AY51)*(1-Supuestos!$B$51)*(1-Supuestos!$B$49)</f>
        <v>27602.4200268719</v>
      </c>
      <c r="AZ54" s="22" t="n">
        <f aca="false">MAX(0,AZ44-AZ51)*(1-Supuestos!$B$51)*(1-Supuestos!$B$49)</f>
        <v>26769.139422287</v>
      </c>
      <c r="BA54" s="22" t="n">
        <f aca="false">MAX(0,BA44-BA51)*(1-Supuestos!$B$51)*(1-Supuestos!$B$49)</f>
        <v>25935.8588177022</v>
      </c>
      <c r="BB54" s="22" t="n">
        <f aca="false">MAX(0,BB44-BB51)*(1-Supuestos!$B$51)*(1-Supuestos!$B$49)</f>
        <v>25102.5782131174</v>
      </c>
      <c r="BC54" s="22" t="n">
        <f aca="false">MAX(0,BC44-BC51)*(1-Supuestos!$B$51)*(1-Supuestos!$B$49)</f>
        <v>24269.2976085326</v>
      </c>
      <c r="BD54" s="22" t="n">
        <f aca="false">MAX(0,BD44-BD51)*(1-Supuestos!$B$51)*(1-Supuestos!$B$49)</f>
        <v>23436.0170039478</v>
      </c>
      <c r="BE54" s="22" t="n">
        <f aca="false">MAX(0,BE44-BE51)*(1-Supuestos!$B$51)*(1-Supuestos!$B$49)</f>
        <v>22602.736399363</v>
      </c>
      <c r="BF54" s="22" t="n">
        <f aca="false">MAX(0,BF44-BF51)*(1-Supuestos!$B$51)*(1-Supuestos!$B$49)</f>
        <v>21769.4557947782</v>
      </c>
      <c r="BG54" s="22" t="n">
        <f aca="false">MAX(0,BG44-BG51)*(1-Supuestos!$B$51)*(1-Supuestos!$B$49)</f>
        <v>20936.1751901934</v>
      </c>
      <c r="BH54" s="22" t="n">
        <f aca="false">MAX(0,BH44-BH51)*(1-Supuestos!$B$51)*(1-Supuestos!$B$49)</f>
        <v>20102.8945856086</v>
      </c>
      <c r="BI54" s="22" t="n">
        <f aca="false">MAX(0,BI44-BI51)*(1-Supuestos!$B$51)*(1-Supuestos!$B$49)</f>
        <v>19269.6139810237</v>
      </c>
      <c r="BJ54" s="22" t="n">
        <f aca="false">MAX(0,BJ44-BJ51)*(1-Supuestos!$B$51)*(1-Supuestos!$B$49)</f>
        <v>18436.3333764389</v>
      </c>
      <c r="BK54" s="22" t="n">
        <f aca="false">MAX(0,BK44-BK51)*(1-Supuestos!$B$51)*(1-Supuestos!$B$49)</f>
        <v>17603.0527718541</v>
      </c>
      <c r="BL54" s="22" t="n">
        <f aca="false">MAX(0,BL44-BL51)*(1-Supuestos!$B$51)*(1-Supuestos!$B$49)</f>
        <v>16769.7721672693</v>
      </c>
      <c r="BM54" s="22" t="n">
        <f aca="false">MAX(0,BM44-BM51)*(1-Supuestos!$B$51)*(1-Supuestos!$B$49)</f>
        <v>15936.4915626845</v>
      </c>
      <c r="BN54" s="22" t="n">
        <f aca="false">MAX(0,BN44-BN51)*(1-Supuestos!$B$51)*(1-Supuestos!$B$49)</f>
        <v>15103.2109580997</v>
      </c>
      <c r="BO54" s="22" t="n">
        <f aca="false">MAX(0,BO44-BO51)*(1-Supuestos!$B$51)*(1-Supuestos!$B$49)</f>
        <v>14269.9303535149</v>
      </c>
      <c r="BP54" s="22" t="n">
        <f aca="false">MAX(0,BP44-BP51)*(1-Supuestos!$B$51)*(1-Supuestos!$B$49)</f>
        <v>13436.6497489301</v>
      </c>
      <c r="BQ54" s="22" t="n">
        <f aca="false">MAX(0,BQ44-BQ51)*(1-Supuestos!$B$51)*(1-Supuestos!$B$49)</f>
        <v>12603.3691443453</v>
      </c>
      <c r="BR54" s="22" t="n">
        <f aca="false">MAX(0,BR44-BR51)*(1-Supuestos!$B$51)*(1-Supuestos!$B$49)</f>
        <v>11770.0885397604</v>
      </c>
      <c r="BS54" s="22" t="n">
        <f aca="false">MAX(0,BS44-BS51)*(1-Supuestos!$B$51)*(1-Supuestos!$B$49)</f>
        <v>10936.8079351756</v>
      </c>
      <c r="BT54" s="22" t="n">
        <f aca="false">MAX(0,BT44-BT51)*(1-Supuestos!$B$51)*(1-Supuestos!$B$49)</f>
        <v>10103.5273305908</v>
      </c>
      <c r="BU54" s="22" t="n">
        <f aca="false">MAX(0,BU44-BU51)*(1-Supuestos!$B$51)*(1-Supuestos!$B$49)</f>
        <v>9270.24672600602</v>
      </c>
      <c r="BV54" s="22" t="n">
        <f aca="false">MAX(0,BV44-BV51)*(1-Supuestos!$B$51)*(1-Supuestos!$B$49)</f>
        <v>8436.96612142121</v>
      </c>
      <c r="BW54" s="22" t="n">
        <f aca="false">MAX(0,BW44-BW51)*(1-Supuestos!$B$51)*(1-Supuestos!$B$49)</f>
        <v>7603.6855168364</v>
      </c>
      <c r="BX54" s="22" t="n">
        <f aca="false">MAX(0,BX44-BX51)*(1-Supuestos!$B$51)*(1-Supuestos!$B$49)</f>
        <v>6770.40491225159</v>
      </c>
      <c r="BY54" s="22" t="n">
        <f aca="false">MAX(0,BY44-BY51)*(1-Supuestos!$B$51)*(1-Supuestos!$B$49)</f>
        <v>5937.12430766678</v>
      </c>
      <c r="BZ54" s="22" t="n">
        <f aca="false">MAX(0,BZ44-BZ51)*(1-Supuestos!$B$51)*(1-Supuestos!$B$49)</f>
        <v>5103.84370308197</v>
      </c>
      <c r="CA54" s="22" t="n">
        <f aca="false">MAX(0,CA44-CA51)*(1-Supuestos!$B$51)*(1-Supuestos!$B$49)</f>
        <v>4270.56309849716</v>
      </c>
      <c r="CB54" s="22" t="n">
        <f aca="false">MAX(0,CB44-CB51)*(1-Supuestos!$B$51)*(1-Supuestos!$B$49)</f>
        <v>3437.28249391234</v>
      </c>
      <c r="CC54" s="22" t="n">
        <f aca="false">MAX(0,CC44-CC51)*(1-Supuestos!$B$51)*(1-Supuestos!$B$49)</f>
        <v>2604.00188932753</v>
      </c>
      <c r="CD54" s="22" t="n">
        <f aca="false">MAX(0,CD44-CD51)*(1-Supuestos!$B$51)*(1-Supuestos!$B$49)</f>
        <v>1770.72128474272</v>
      </c>
      <c r="CE54" s="22" t="n">
        <f aca="false">MAX(0,CE44-CE51)*(1-Supuestos!$B$51)*(1-Supuestos!$B$49)</f>
        <v>937.440680157912</v>
      </c>
      <c r="CF54" s="22" t="n">
        <f aca="false">MAX(0,CF44-CF51)*(1-Supuestos!$B$51)*(1-Supuestos!$B$49)</f>
        <v>104.160075573101</v>
      </c>
      <c r="CG54" s="22" t="n">
        <f aca="false">MAX(0,CG44-CG51)*(1-Supuestos!$B$51)*(1-Supuestos!$B$49)</f>
        <v>0</v>
      </c>
      <c r="CH54" s="22" t="n">
        <f aca="false">MAX(0,CH44-CH51)*(1-Supuestos!$B$51)*(1-Supuestos!$B$49)</f>
        <v>0</v>
      </c>
    </row>
    <row r="55" customFormat="false" ht="15" hidden="false" customHeight="false" outlineLevel="0" collapsed="false">
      <c r="A55" s="8" t="s">
        <v>195</v>
      </c>
      <c r="B55" s="9" t="n">
        <f aca="false">SUM(C55:CH55)</f>
        <v>1324235.28001382</v>
      </c>
      <c r="C55" s="9" t="n">
        <f aca="false">-C34+C43+C51+C52</f>
        <v>-500000</v>
      </c>
      <c r="D55" s="9" t="n">
        <f aca="false">-D34+D43+D51+D52</f>
        <v>0</v>
      </c>
      <c r="E55" s="9" t="n">
        <f aca="false">-E34+E43+E51+E52</f>
        <v>-500000</v>
      </c>
      <c r="F55" s="9" t="n">
        <f aca="false">-F34+F43+F51+F52</f>
        <v>0</v>
      </c>
      <c r="G55" s="9" t="n">
        <f aca="false">-G34+G43+G51+G52</f>
        <v>-500000</v>
      </c>
      <c r="H55" s="9" t="n">
        <f aca="false">-H34+H43+H51+H52</f>
        <v>0</v>
      </c>
      <c r="I55" s="9" t="n">
        <f aca="false">-I34+I43+I51+I52</f>
        <v>-500000</v>
      </c>
      <c r="J55" s="9" t="n">
        <f aca="false">-J34+J43+J51+J52</f>
        <v>0</v>
      </c>
      <c r="K55" s="9" t="n">
        <f aca="false">-K34+K43+K51+K52</f>
        <v>0</v>
      </c>
      <c r="L55" s="9" t="n">
        <f aca="false">-L34+L43+L51+L52</f>
        <v>0</v>
      </c>
      <c r="M55" s="9" t="n">
        <f aca="false">-M34+M43+M51+M52</f>
        <v>0</v>
      </c>
      <c r="N55" s="9" t="n">
        <f aca="false">-N34+N43+N51+N52</f>
        <v>0</v>
      </c>
      <c r="O55" s="9" t="n">
        <f aca="false">-O34+O43+O51+O52</f>
        <v>0</v>
      </c>
      <c r="P55" s="9" t="n">
        <f aca="false">-P34+P43+P51+P52</f>
        <v>0</v>
      </c>
      <c r="Q55" s="9" t="n">
        <f aca="false">-Q34+Q43+Q51+Q52</f>
        <v>0</v>
      </c>
      <c r="R55" s="9" t="n">
        <f aca="false">-R34+R43+R51+R52</f>
        <v>0</v>
      </c>
      <c r="S55" s="9" t="n">
        <f aca="false">-S34+S43+S51+S52</f>
        <v>0</v>
      </c>
      <c r="T55" s="9" t="n">
        <f aca="false">-T34+T43+T51+T52</f>
        <v>233333.333333333</v>
      </c>
      <c r="U55" s="9" t="n">
        <f aca="false">-U34+U43+U51+U52</f>
        <v>0</v>
      </c>
      <c r="V55" s="9" t="n">
        <f aca="false">-V34+V43+V51+V52</f>
        <v>0</v>
      </c>
      <c r="W55" s="9" t="n">
        <f aca="false">-W34+W43+W51+W52</f>
        <v>0</v>
      </c>
      <c r="X55" s="9" t="n">
        <f aca="false">-X34+X43+X51+X52</f>
        <v>0</v>
      </c>
      <c r="Y55" s="9" t="n">
        <f aca="false">-Y34+Y43+Y51+Y52</f>
        <v>0</v>
      </c>
      <c r="Z55" s="9" t="n">
        <f aca="false">-Z34+Z43+Z51+Z52</f>
        <v>2335065.33905877</v>
      </c>
      <c r="AA55" s="9" t="n">
        <f aca="false">-AA34+AA43+AA51+AA52</f>
        <v>11023.840387729</v>
      </c>
      <c r="AB55" s="9" t="n">
        <f aca="false">-AB34+AB43+AB51+AB52</f>
        <v>11619.0408195753</v>
      </c>
      <c r="AC55" s="9" t="n">
        <f aca="false">-AC34+AC43+AC51+AC52</f>
        <v>12214.2412514216</v>
      </c>
      <c r="AD55" s="9" t="n">
        <f aca="false">-AD34+AD43+AD51+AD52</f>
        <v>12809.4416832679</v>
      </c>
      <c r="AE55" s="9" t="n">
        <f aca="false">-AE34+AE43+AE51+AE52</f>
        <v>13404.6421151142</v>
      </c>
      <c r="AF55" s="9" t="n">
        <f aca="false">-AF34+AF43+AF51+AF52</f>
        <v>13999.8425469605</v>
      </c>
      <c r="AG55" s="9" t="n">
        <f aca="false">-AG34+AG43+AG51+AG52</f>
        <v>14595.0429788068</v>
      </c>
      <c r="AH55" s="9" t="n">
        <f aca="false">-AH34+AH43+AH51+AH52</f>
        <v>15190.2434106531</v>
      </c>
      <c r="AI55" s="9" t="n">
        <f aca="false">-AI34+AI43+AI51+AI52</f>
        <v>15785.4438424994</v>
      </c>
      <c r="AJ55" s="9" t="n">
        <f aca="false">-AJ34+AJ43+AJ51+AJ52</f>
        <v>16380.6442743456</v>
      </c>
      <c r="AK55" s="9" t="n">
        <f aca="false">-AK34+AK43+AK51+AK52</f>
        <v>16975.8447061919</v>
      </c>
      <c r="AL55" s="9" t="n">
        <f aca="false">-AL34+AL43+AL51+AL52</f>
        <v>17571.0451380382</v>
      </c>
      <c r="AM55" s="9" t="n">
        <f aca="false">-AM34+AM43+AM51+AM52</f>
        <v>18166.2455698845</v>
      </c>
      <c r="AN55" s="9" t="n">
        <f aca="false">-AN34+AN43+AN51+AN52</f>
        <v>18761.4460017308</v>
      </c>
      <c r="AO55" s="9" t="n">
        <f aca="false">-AO34+AO43+AO51+AO52</f>
        <v>19356.6464335771</v>
      </c>
      <c r="AP55" s="9" t="n">
        <f aca="false">-AP34+AP43+AP51+AP52</f>
        <v>19951.8468654234</v>
      </c>
      <c r="AQ55" s="9" t="n">
        <f aca="false">-AQ34+AQ43+AQ51+AQ52</f>
        <v>20547.0472972697</v>
      </c>
      <c r="AR55" s="9" t="n">
        <f aca="false">-AR34+AR43+AR51+AR52</f>
        <v>21142.247729116</v>
      </c>
      <c r="AS55" s="9" t="n">
        <f aca="false">-AS34+AS43+AS51+AS52</f>
        <v>21737.4481609623</v>
      </c>
      <c r="AT55" s="9" t="n">
        <f aca="false">-AT34+AT43+AT51+AT52</f>
        <v>22332.6485928086</v>
      </c>
      <c r="AU55" s="9" t="n">
        <f aca="false">-AU34+AU43+AU51+AU52</f>
        <v>22927.8490246549</v>
      </c>
      <c r="AV55" s="9" t="n">
        <f aca="false">-AV34+AV43+AV51+AV52</f>
        <v>21689.1947852209</v>
      </c>
      <c r="AW55" s="9" t="n">
        <f aca="false">-AW34+AW43+AW51+AW52</f>
        <v>20906.4151686011</v>
      </c>
      <c r="AX55" s="9" t="n">
        <f aca="false">-AX34+AX43+AX51+AX52</f>
        <v>20311.2147367548</v>
      </c>
      <c r="AY55" s="9" t="n">
        <f aca="false">-AY34+AY43+AY51+AY52</f>
        <v>19716.0143049085</v>
      </c>
      <c r="AZ55" s="9" t="n">
        <f aca="false">-AZ34+AZ43+AZ51+AZ52</f>
        <v>19120.8138730622</v>
      </c>
      <c r="BA55" s="9" t="n">
        <f aca="false">-BA34+BA43+BA51+BA52</f>
        <v>18525.6134412159</v>
      </c>
      <c r="BB55" s="9" t="n">
        <f aca="false">-BB34+BB43+BB51+BB52</f>
        <v>17930.4130093696</v>
      </c>
      <c r="BC55" s="9" t="n">
        <f aca="false">-BC34+BC43+BC51+BC52</f>
        <v>17335.2125775233</v>
      </c>
      <c r="BD55" s="9" t="n">
        <f aca="false">-BD34+BD43+BD51+BD52</f>
        <v>16740.012145677</v>
      </c>
      <c r="BE55" s="9" t="n">
        <f aca="false">-BE34+BE43+BE51+BE52</f>
        <v>16144.8117138307</v>
      </c>
      <c r="BF55" s="9" t="n">
        <f aca="false">-BF34+BF43+BF51+BF52</f>
        <v>15549.6112819844</v>
      </c>
      <c r="BG55" s="9" t="n">
        <f aca="false">-BG34+BG43+BG51+BG52</f>
        <v>14954.4108501381</v>
      </c>
      <c r="BH55" s="9" t="n">
        <f aca="false">-BH34+BH43+BH51+BH52</f>
        <v>14359.2104182918</v>
      </c>
      <c r="BI55" s="9" t="n">
        <f aca="false">-BI34+BI43+BI51+BI52</f>
        <v>13764.0099864455</v>
      </c>
      <c r="BJ55" s="9" t="n">
        <f aca="false">-BJ34+BJ43+BJ51+BJ52</f>
        <v>13168.8095545992</v>
      </c>
      <c r="BK55" s="9" t="n">
        <f aca="false">-BK34+BK43+BK51+BK52</f>
        <v>12573.6091227529</v>
      </c>
      <c r="BL55" s="9" t="n">
        <f aca="false">-BL34+BL43+BL51+BL52</f>
        <v>11978.4086909067</v>
      </c>
      <c r="BM55" s="9" t="n">
        <f aca="false">-BM34+BM43+BM51+BM52</f>
        <v>11383.2082590604</v>
      </c>
      <c r="BN55" s="9" t="n">
        <f aca="false">-BN34+BN43+BN51+BN52</f>
        <v>10788.0078272141</v>
      </c>
      <c r="BO55" s="9" t="n">
        <f aca="false">-BO34+BO43+BO51+BO52</f>
        <v>10192.8073953678</v>
      </c>
      <c r="BP55" s="9" t="n">
        <f aca="false">-BP34+BP43+BP51+BP52</f>
        <v>9597.60696352148</v>
      </c>
      <c r="BQ55" s="9" t="n">
        <f aca="false">-BQ34+BQ43+BQ51+BQ52</f>
        <v>9002.40653167519</v>
      </c>
      <c r="BR55" s="9" t="n">
        <f aca="false">-BR34+BR43+BR51+BR52</f>
        <v>8407.20609982889</v>
      </c>
      <c r="BS55" s="9" t="n">
        <f aca="false">-BS34+BS43+BS51+BS52</f>
        <v>7812.0056679826</v>
      </c>
      <c r="BT55" s="9" t="n">
        <f aca="false">-BT34+BT43+BT51+BT52</f>
        <v>7216.80523613631</v>
      </c>
      <c r="BU55" s="9" t="n">
        <f aca="false">-BU34+BU43+BU51+BU52</f>
        <v>6621.60480429001</v>
      </c>
      <c r="BV55" s="9" t="n">
        <f aca="false">-BV34+BV43+BV51+BV52</f>
        <v>6026.40437244372</v>
      </c>
      <c r="BW55" s="9" t="n">
        <f aca="false">-BW34+BW43+BW51+BW52</f>
        <v>5431.20394059743</v>
      </c>
      <c r="BX55" s="9" t="n">
        <f aca="false">-BX34+BX43+BX51+BX52</f>
        <v>4836.00350875113</v>
      </c>
      <c r="BY55" s="9" t="n">
        <f aca="false">-BY34+BY43+BY51+BY52</f>
        <v>4240.80307690484</v>
      </c>
      <c r="BZ55" s="9" t="n">
        <f aca="false">-BZ34+BZ43+BZ51+BZ52</f>
        <v>3645.60264505855</v>
      </c>
      <c r="CA55" s="9" t="n">
        <f aca="false">-CA34+CA43+CA51+CA52</f>
        <v>3050.40221321225</v>
      </c>
      <c r="CB55" s="9" t="n">
        <f aca="false">-CB34+CB43+CB51+CB52</f>
        <v>2455.20178136596</v>
      </c>
      <c r="CC55" s="9" t="n">
        <f aca="false">-CC34+CC43+CC51+CC52</f>
        <v>1860.00134951967</v>
      </c>
      <c r="CD55" s="9" t="n">
        <f aca="false">-CD34+CD43+CD51+CD52</f>
        <v>1264.80091767337</v>
      </c>
      <c r="CE55" s="9" t="n">
        <f aca="false">-CE34+CE43+CE51+CE52</f>
        <v>669.60048582708</v>
      </c>
      <c r="CF55" s="9" t="n">
        <f aca="false">-CF34+CF43+CF51+CF52</f>
        <v>74.4000539807867</v>
      </c>
      <c r="CG55" s="9" t="n">
        <f aca="false">-CG34+CG43+CG51+CG52</f>
        <v>0</v>
      </c>
      <c r="CH55" s="9" t="n">
        <f aca="false">-CH34+CH43+CH51+CH52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2026-10-05T20:30:54Z</dcterms:created>
  <dc:creator>openpyxl</dc:creator>
  <dc:description/>
  <dc:language>es-ES</dc:language>
  <cp:lastModifiedBy/>
  <dcterms:modified xsi:type="dcterms:W3CDTF">2026-10-05T20:30:54Z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